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larivate-my.sharepoint.com/personal/roberta_catania_clarivate_com/Documents/Desktop/"/>
    </mc:Choice>
  </mc:AlternateContent>
  <xr:revisionPtr revIDLastSave="0" documentId="13_ncr:40009_{D80CA484-7E63-409C-A3A6-F1F7F5E53B32}" xr6:coauthVersionLast="47" xr6:coauthVersionMax="47" xr10:uidLastSave="{00000000-0000-0000-0000-000000000000}"/>
  <bookViews>
    <workbookView xWindow="-120" yWindow="-120" windowWidth="29040" windowHeight="15840"/>
  </bookViews>
  <sheets>
    <sheet name="Open Access Complete" sheetId="1" r:id="rId1"/>
  </sheets>
  <calcPr calcId="0"/>
</workbook>
</file>

<file path=xl/calcChain.xml><?xml version="1.0" encoding="utf-8"?>
<calcChain xmlns="http://schemas.openxmlformats.org/spreadsheetml/2006/main">
  <c r="C2" i="1" l="1"/>
  <c r="D2" i="1"/>
  <c r="C3" i="1"/>
  <c r="D3" i="1"/>
  <c r="C4" i="1"/>
  <c r="D4" i="1"/>
  <c r="C5" i="1"/>
  <c r="D5" i="1"/>
  <c r="C6" i="1"/>
  <c r="D6" i="1"/>
  <c r="C7" i="1"/>
  <c r="D7" i="1"/>
  <c r="C8" i="1"/>
  <c r="D8" i="1"/>
  <c r="C9" i="1"/>
  <c r="D9" i="1"/>
  <c r="C10" i="1"/>
  <c r="D10" i="1"/>
  <c r="C11" i="1"/>
  <c r="D11" i="1"/>
  <c r="C12" i="1"/>
  <c r="D12" i="1"/>
  <c r="C13" i="1"/>
  <c r="D13" i="1"/>
  <c r="C14" i="1"/>
  <c r="D14" i="1"/>
  <c r="C15" i="1"/>
  <c r="D15" i="1"/>
  <c r="C16" i="1"/>
  <c r="D16" i="1"/>
  <c r="C17" i="1"/>
  <c r="D17" i="1"/>
  <c r="C18" i="1"/>
  <c r="D18" i="1"/>
  <c r="C19" i="1"/>
  <c r="D19" i="1"/>
  <c r="C20" i="1"/>
  <c r="D20" i="1"/>
  <c r="C21" i="1"/>
  <c r="D21" i="1"/>
  <c r="C22" i="1"/>
  <c r="D22" i="1"/>
  <c r="C23" i="1"/>
  <c r="D23" i="1"/>
  <c r="C24" i="1"/>
  <c r="D24" i="1"/>
  <c r="C25" i="1"/>
  <c r="D25" i="1"/>
  <c r="C26" i="1"/>
  <c r="D26" i="1"/>
  <c r="C27" i="1"/>
  <c r="D27" i="1"/>
  <c r="C28" i="1"/>
  <c r="D28" i="1"/>
  <c r="C29" i="1"/>
  <c r="D29" i="1"/>
  <c r="C30" i="1"/>
  <c r="D30" i="1"/>
  <c r="C31" i="1"/>
  <c r="D31" i="1"/>
  <c r="C32" i="1"/>
  <c r="D32" i="1"/>
  <c r="C33" i="1"/>
  <c r="D33" i="1"/>
  <c r="C34" i="1"/>
  <c r="D34" i="1"/>
  <c r="C35" i="1"/>
  <c r="D35" i="1"/>
  <c r="C36" i="1"/>
  <c r="D36" i="1"/>
  <c r="C37" i="1"/>
  <c r="D37" i="1"/>
  <c r="C38" i="1"/>
  <c r="D38" i="1"/>
  <c r="C39" i="1"/>
  <c r="D39" i="1"/>
  <c r="C40" i="1"/>
  <c r="D40" i="1"/>
  <c r="C41" i="1"/>
  <c r="D41" i="1"/>
  <c r="C42" i="1"/>
  <c r="D42" i="1"/>
  <c r="C43" i="1"/>
  <c r="D43" i="1"/>
  <c r="C44" i="1"/>
  <c r="D44" i="1"/>
  <c r="C45" i="1"/>
  <c r="D45" i="1"/>
  <c r="C46" i="1"/>
  <c r="D46" i="1"/>
  <c r="C47" i="1"/>
  <c r="D47" i="1"/>
  <c r="C48" i="1"/>
  <c r="D48" i="1"/>
  <c r="C49" i="1"/>
  <c r="D49" i="1"/>
  <c r="C50" i="1"/>
  <c r="D50" i="1"/>
  <c r="C51" i="1"/>
  <c r="D51" i="1"/>
  <c r="C52" i="1"/>
  <c r="D52" i="1"/>
  <c r="C53" i="1"/>
  <c r="D53" i="1"/>
  <c r="C54" i="1"/>
  <c r="D54" i="1"/>
  <c r="C55" i="1"/>
  <c r="D55" i="1"/>
  <c r="C56" i="1"/>
  <c r="D56" i="1"/>
  <c r="C57" i="1"/>
  <c r="D57" i="1"/>
  <c r="C58" i="1"/>
  <c r="D58" i="1"/>
  <c r="C59" i="1"/>
  <c r="D59" i="1"/>
  <c r="C60" i="1"/>
  <c r="D60" i="1"/>
  <c r="C61" i="1"/>
  <c r="D61" i="1"/>
  <c r="C62" i="1"/>
  <c r="D62" i="1"/>
  <c r="C63" i="1"/>
  <c r="D63" i="1"/>
  <c r="C64" i="1"/>
  <c r="D64" i="1"/>
  <c r="C65" i="1"/>
  <c r="D65" i="1"/>
  <c r="C66" i="1"/>
  <c r="D66" i="1"/>
  <c r="C67" i="1"/>
  <c r="D67" i="1"/>
  <c r="C68" i="1"/>
  <c r="D68" i="1"/>
  <c r="C69" i="1"/>
  <c r="D69" i="1"/>
  <c r="C70" i="1"/>
  <c r="D70" i="1"/>
  <c r="C71" i="1"/>
  <c r="D71" i="1"/>
  <c r="C72" i="1"/>
  <c r="D72" i="1"/>
  <c r="C73" i="1"/>
  <c r="D73" i="1"/>
  <c r="C74" i="1"/>
  <c r="D74" i="1"/>
  <c r="C75" i="1"/>
  <c r="D75" i="1"/>
  <c r="C76" i="1"/>
  <c r="D76" i="1"/>
  <c r="C77" i="1"/>
  <c r="D77" i="1"/>
  <c r="C78" i="1"/>
  <c r="D78" i="1"/>
  <c r="C79" i="1"/>
  <c r="D79" i="1"/>
  <c r="C80" i="1"/>
  <c r="D80" i="1"/>
  <c r="C81" i="1"/>
  <c r="D81" i="1"/>
  <c r="C82" i="1"/>
  <c r="D82" i="1"/>
  <c r="C83" i="1"/>
  <c r="D83" i="1"/>
  <c r="C84" i="1"/>
  <c r="D84" i="1"/>
  <c r="C85" i="1"/>
  <c r="D85" i="1"/>
  <c r="C86" i="1"/>
  <c r="D86" i="1"/>
  <c r="C87" i="1"/>
  <c r="D87" i="1"/>
  <c r="C88" i="1"/>
  <c r="D88" i="1"/>
  <c r="C89" i="1"/>
  <c r="D89" i="1"/>
  <c r="C90" i="1"/>
  <c r="D90" i="1"/>
  <c r="C91" i="1"/>
  <c r="D91" i="1"/>
  <c r="C92" i="1"/>
  <c r="D92" i="1"/>
  <c r="C93" i="1"/>
  <c r="D93" i="1"/>
  <c r="C94" i="1"/>
  <c r="D94" i="1"/>
  <c r="C95" i="1"/>
  <c r="D95" i="1"/>
  <c r="C96" i="1"/>
  <c r="D96" i="1"/>
  <c r="C97" i="1"/>
  <c r="D97" i="1"/>
  <c r="C98" i="1"/>
  <c r="D98" i="1"/>
  <c r="C99" i="1"/>
  <c r="D99" i="1"/>
  <c r="C100" i="1"/>
  <c r="D100" i="1"/>
  <c r="C101" i="1"/>
  <c r="D101" i="1"/>
  <c r="C102" i="1"/>
  <c r="D102" i="1"/>
  <c r="C103" i="1"/>
  <c r="D103" i="1"/>
  <c r="C104" i="1"/>
  <c r="D104" i="1"/>
  <c r="C105" i="1"/>
  <c r="D105" i="1"/>
  <c r="C106" i="1"/>
  <c r="D106" i="1"/>
  <c r="C107" i="1"/>
  <c r="D107" i="1"/>
  <c r="C108" i="1"/>
  <c r="D108" i="1"/>
  <c r="C109" i="1"/>
  <c r="D109" i="1"/>
  <c r="C110" i="1"/>
  <c r="D110" i="1"/>
  <c r="C111" i="1"/>
  <c r="D111" i="1"/>
  <c r="C112" i="1"/>
  <c r="D112" i="1"/>
  <c r="C113" i="1"/>
  <c r="D113" i="1"/>
  <c r="C114" i="1"/>
  <c r="D114" i="1"/>
  <c r="C115" i="1"/>
  <c r="D115" i="1"/>
  <c r="C116" i="1"/>
  <c r="D116" i="1"/>
  <c r="C117" i="1"/>
  <c r="D117" i="1"/>
  <c r="C118" i="1"/>
  <c r="D118" i="1"/>
  <c r="C119" i="1"/>
  <c r="D119" i="1"/>
  <c r="C120" i="1"/>
  <c r="D120" i="1"/>
  <c r="C121" i="1"/>
  <c r="D121" i="1"/>
  <c r="C122" i="1"/>
  <c r="D122" i="1"/>
  <c r="C123" i="1"/>
  <c r="D123" i="1"/>
  <c r="C124" i="1"/>
  <c r="D124" i="1"/>
  <c r="C125" i="1"/>
  <c r="D125" i="1"/>
  <c r="C126" i="1"/>
  <c r="D126" i="1"/>
  <c r="C127" i="1"/>
  <c r="D127" i="1"/>
  <c r="C128" i="1"/>
  <c r="D128" i="1"/>
  <c r="C129" i="1"/>
  <c r="D129" i="1"/>
  <c r="C130" i="1"/>
  <c r="D130" i="1"/>
  <c r="C131" i="1"/>
  <c r="D131" i="1"/>
  <c r="C132" i="1"/>
  <c r="D132" i="1"/>
  <c r="C133" i="1"/>
  <c r="D133" i="1"/>
  <c r="C134" i="1"/>
  <c r="D134" i="1"/>
  <c r="C135" i="1"/>
  <c r="D135" i="1"/>
  <c r="C136" i="1"/>
  <c r="D136" i="1"/>
  <c r="C137" i="1"/>
  <c r="D137" i="1"/>
  <c r="C138" i="1"/>
  <c r="D138" i="1"/>
  <c r="C139" i="1"/>
  <c r="D139" i="1"/>
  <c r="C140" i="1"/>
  <c r="D140" i="1"/>
  <c r="C141" i="1"/>
  <c r="D141" i="1"/>
  <c r="C142" i="1"/>
  <c r="D142" i="1"/>
  <c r="C143" i="1"/>
  <c r="D143" i="1"/>
  <c r="C144" i="1"/>
  <c r="D144" i="1"/>
  <c r="C145" i="1"/>
  <c r="D145" i="1"/>
  <c r="C146" i="1"/>
  <c r="D146" i="1"/>
  <c r="C147" i="1"/>
  <c r="D147" i="1"/>
  <c r="C148" i="1"/>
  <c r="D148" i="1"/>
  <c r="C149" i="1"/>
  <c r="D149" i="1"/>
  <c r="C150" i="1"/>
  <c r="D150" i="1"/>
  <c r="C151" i="1"/>
  <c r="D151" i="1"/>
  <c r="C152" i="1"/>
  <c r="D152" i="1"/>
  <c r="C153" i="1"/>
  <c r="D153" i="1"/>
  <c r="C154" i="1"/>
  <c r="D154" i="1"/>
  <c r="C155" i="1"/>
  <c r="D155" i="1"/>
  <c r="C156" i="1"/>
  <c r="D156" i="1"/>
  <c r="C157" i="1"/>
  <c r="D157" i="1"/>
  <c r="C158" i="1"/>
  <c r="D158" i="1"/>
  <c r="C159" i="1"/>
  <c r="D159" i="1"/>
  <c r="C160" i="1"/>
  <c r="D160" i="1"/>
  <c r="C161" i="1"/>
  <c r="D161" i="1"/>
  <c r="C162" i="1"/>
  <c r="D162" i="1"/>
  <c r="C163" i="1"/>
  <c r="D163" i="1"/>
  <c r="C164" i="1"/>
  <c r="D164" i="1"/>
  <c r="C165" i="1"/>
  <c r="D165" i="1"/>
  <c r="C166" i="1"/>
  <c r="D166" i="1"/>
  <c r="C167" i="1"/>
  <c r="D167" i="1"/>
  <c r="C168" i="1"/>
  <c r="D168" i="1"/>
  <c r="C169" i="1"/>
  <c r="D169" i="1"/>
  <c r="C170" i="1"/>
  <c r="D170" i="1"/>
  <c r="C171" i="1"/>
  <c r="D171" i="1"/>
  <c r="C172" i="1"/>
  <c r="D172" i="1"/>
  <c r="C173" i="1"/>
  <c r="D173" i="1"/>
  <c r="C174" i="1"/>
  <c r="D174" i="1"/>
  <c r="C175" i="1"/>
  <c r="D175" i="1"/>
  <c r="C176" i="1"/>
  <c r="D176" i="1"/>
  <c r="C177" i="1"/>
  <c r="D177" i="1"/>
  <c r="C178" i="1"/>
  <c r="D178" i="1"/>
  <c r="C179" i="1"/>
  <c r="D179" i="1"/>
  <c r="C180" i="1"/>
  <c r="D180" i="1"/>
  <c r="C181" i="1"/>
  <c r="D181" i="1"/>
  <c r="C182" i="1"/>
  <c r="D182" i="1"/>
  <c r="C183" i="1"/>
  <c r="D183" i="1"/>
  <c r="C184" i="1"/>
  <c r="D184" i="1"/>
  <c r="C185" i="1"/>
  <c r="D185" i="1"/>
  <c r="C186" i="1"/>
  <c r="D186" i="1"/>
  <c r="C187" i="1"/>
  <c r="D187" i="1"/>
  <c r="C188" i="1"/>
  <c r="D188" i="1"/>
  <c r="C189" i="1"/>
  <c r="D189" i="1"/>
  <c r="C190" i="1"/>
  <c r="D190" i="1"/>
  <c r="C191" i="1"/>
  <c r="D191" i="1"/>
  <c r="C192" i="1"/>
  <c r="D192" i="1"/>
  <c r="C193" i="1"/>
  <c r="D193" i="1"/>
  <c r="C194" i="1"/>
  <c r="D194" i="1"/>
  <c r="C195" i="1"/>
  <c r="D195" i="1"/>
  <c r="C196" i="1"/>
  <c r="D196" i="1"/>
  <c r="C197" i="1"/>
  <c r="D197" i="1"/>
  <c r="C198" i="1"/>
  <c r="D198" i="1"/>
  <c r="C199" i="1"/>
  <c r="D199" i="1"/>
  <c r="C200" i="1"/>
  <c r="D200" i="1"/>
  <c r="C201" i="1"/>
  <c r="D201" i="1"/>
  <c r="C202" i="1"/>
  <c r="D202" i="1"/>
  <c r="C203" i="1"/>
  <c r="D203" i="1"/>
  <c r="C204" i="1"/>
  <c r="D204" i="1"/>
  <c r="C205" i="1"/>
  <c r="D205" i="1"/>
  <c r="C206" i="1"/>
  <c r="D206" i="1"/>
  <c r="C207" i="1"/>
  <c r="D207" i="1"/>
  <c r="C208" i="1"/>
  <c r="D208" i="1"/>
  <c r="C209" i="1"/>
  <c r="D209" i="1"/>
  <c r="C210" i="1"/>
  <c r="D210" i="1"/>
  <c r="C211" i="1"/>
  <c r="D211" i="1"/>
  <c r="C212" i="1"/>
  <c r="D212" i="1"/>
  <c r="C213" i="1"/>
  <c r="D213" i="1"/>
  <c r="C214" i="1"/>
  <c r="D214" i="1"/>
  <c r="C215" i="1"/>
  <c r="D215" i="1"/>
  <c r="C216" i="1"/>
  <c r="D216" i="1"/>
  <c r="C217" i="1"/>
  <c r="D217" i="1"/>
  <c r="C218" i="1"/>
  <c r="D218" i="1"/>
  <c r="C219" i="1"/>
  <c r="D219" i="1"/>
  <c r="C220" i="1"/>
  <c r="D220" i="1"/>
  <c r="C221" i="1"/>
  <c r="D221" i="1"/>
  <c r="C222" i="1"/>
  <c r="D222" i="1"/>
  <c r="C223" i="1"/>
  <c r="D223" i="1"/>
  <c r="C224" i="1"/>
  <c r="D224" i="1"/>
  <c r="C225" i="1"/>
  <c r="D225" i="1"/>
  <c r="C226" i="1"/>
  <c r="D226" i="1"/>
  <c r="C227" i="1"/>
  <c r="D227" i="1"/>
  <c r="C228" i="1"/>
  <c r="D228" i="1"/>
  <c r="C229" i="1"/>
  <c r="D229" i="1"/>
  <c r="C230" i="1"/>
  <c r="D230" i="1"/>
  <c r="C231" i="1"/>
  <c r="D231" i="1"/>
  <c r="C232" i="1"/>
  <c r="D232" i="1"/>
  <c r="C233" i="1"/>
  <c r="D233" i="1"/>
  <c r="C234" i="1"/>
  <c r="D234" i="1"/>
  <c r="C235" i="1"/>
  <c r="D235" i="1"/>
  <c r="C236" i="1"/>
  <c r="D236" i="1"/>
  <c r="C237" i="1"/>
  <c r="D237" i="1"/>
  <c r="C238" i="1"/>
  <c r="D238" i="1"/>
  <c r="C239" i="1"/>
  <c r="D239" i="1"/>
  <c r="C240" i="1"/>
  <c r="D240" i="1"/>
  <c r="C241" i="1"/>
  <c r="D241" i="1"/>
  <c r="C242" i="1"/>
  <c r="D242" i="1"/>
  <c r="C243" i="1"/>
  <c r="D243" i="1"/>
  <c r="C244" i="1"/>
  <c r="D244" i="1"/>
  <c r="C245" i="1"/>
  <c r="D245" i="1"/>
  <c r="C246" i="1"/>
  <c r="D246" i="1"/>
  <c r="C247" i="1"/>
  <c r="D247" i="1"/>
  <c r="C248" i="1"/>
  <c r="D248" i="1"/>
  <c r="C249" i="1"/>
  <c r="D249" i="1"/>
  <c r="C250" i="1"/>
  <c r="D250" i="1"/>
  <c r="C251" i="1"/>
  <c r="D251" i="1"/>
  <c r="C252" i="1"/>
  <c r="D252" i="1"/>
  <c r="C253" i="1"/>
  <c r="D253" i="1"/>
  <c r="C254" i="1"/>
  <c r="D254" i="1"/>
  <c r="C255" i="1"/>
  <c r="D255" i="1"/>
  <c r="C256" i="1"/>
  <c r="D256" i="1"/>
  <c r="C257" i="1"/>
  <c r="D257" i="1"/>
  <c r="C258" i="1"/>
  <c r="D258" i="1"/>
  <c r="C259" i="1"/>
  <c r="D259" i="1"/>
  <c r="C260" i="1"/>
  <c r="D260" i="1"/>
  <c r="C261" i="1"/>
  <c r="D261" i="1"/>
  <c r="C262" i="1"/>
  <c r="D262" i="1"/>
  <c r="C263" i="1"/>
  <c r="D263" i="1"/>
  <c r="C264" i="1"/>
  <c r="D264" i="1"/>
  <c r="C265" i="1"/>
  <c r="D265" i="1"/>
  <c r="C266" i="1"/>
  <c r="D266" i="1"/>
  <c r="C267" i="1"/>
  <c r="D267" i="1"/>
  <c r="C268" i="1"/>
  <c r="D268" i="1"/>
  <c r="C269" i="1"/>
  <c r="D269" i="1"/>
  <c r="C270" i="1"/>
  <c r="D270" i="1"/>
  <c r="C271" i="1"/>
  <c r="D271" i="1"/>
  <c r="C272" i="1"/>
  <c r="D272" i="1"/>
  <c r="C273" i="1"/>
  <c r="D273" i="1"/>
  <c r="C274" i="1"/>
  <c r="D274" i="1"/>
  <c r="C275" i="1"/>
  <c r="D275" i="1"/>
  <c r="C276" i="1"/>
  <c r="D276" i="1"/>
  <c r="C277" i="1"/>
  <c r="D277" i="1"/>
  <c r="C278" i="1"/>
  <c r="D278" i="1"/>
  <c r="C279" i="1"/>
  <c r="D279" i="1"/>
  <c r="C280" i="1"/>
  <c r="D280" i="1"/>
  <c r="C281" i="1"/>
  <c r="D281" i="1"/>
  <c r="C282" i="1"/>
  <c r="D282" i="1"/>
  <c r="C283" i="1"/>
  <c r="D283" i="1"/>
  <c r="C284" i="1"/>
  <c r="D284" i="1"/>
  <c r="C285" i="1"/>
  <c r="D285" i="1"/>
  <c r="C286" i="1"/>
  <c r="D286" i="1"/>
  <c r="C287" i="1"/>
  <c r="D287" i="1"/>
  <c r="C288" i="1"/>
  <c r="D288" i="1"/>
  <c r="C289" i="1"/>
  <c r="D289" i="1"/>
  <c r="C290" i="1"/>
  <c r="D290" i="1"/>
  <c r="C291" i="1"/>
  <c r="D291" i="1"/>
  <c r="C292" i="1"/>
  <c r="D292" i="1"/>
  <c r="C293" i="1"/>
  <c r="D293" i="1"/>
  <c r="C294" i="1"/>
  <c r="D294" i="1"/>
  <c r="C295" i="1"/>
  <c r="D295" i="1"/>
  <c r="C296" i="1"/>
  <c r="D296" i="1"/>
  <c r="C297" i="1"/>
  <c r="D297" i="1"/>
  <c r="C298" i="1"/>
  <c r="D298" i="1"/>
  <c r="C299" i="1"/>
  <c r="D299" i="1"/>
  <c r="C300" i="1"/>
  <c r="D300" i="1"/>
  <c r="C301" i="1"/>
  <c r="D301" i="1"/>
  <c r="C302" i="1"/>
  <c r="D302" i="1"/>
  <c r="C303" i="1"/>
  <c r="D303" i="1"/>
  <c r="C304" i="1"/>
  <c r="D304" i="1"/>
  <c r="C305" i="1"/>
  <c r="D305" i="1"/>
  <c r="C306" i="1"/>
  <c r="D306" i="1"/>
  <c r="C307" i="1"/>
  <c r="D307" i="1"/>
  <c r="C308" i="1"/>
  <c r="D308" i="1"/>
  <c r="C309" i="1"/>
  <c r="D309" i="1"/>
  <c r="C310" i="1"/>
  <c r="D310" i="1"/>
  <c r="C311" i="1"/>
  <c r="D311" i="1"/>
  <c r="C312" i="1"/>
  <c r="D312" i="1"/>
  <c r="C313" i="1"/>
  <c r="D313" i="1"/>
  <c r="C314" i="1"/>
  <c r="D314" i="1"/>
  <c r="C315" i="1"/>
  <c r="D315" i="1"/>
  <c r="C316" i="1"/>
  <c r="D316" i="1"/>
  <c r="C317" i="1"/>
  <c r="D317" i="1"/>
  <c r="C318" i="1"/>
  <c r="D318" i="1"/>
  <c r="C319" i="1"/>
  <c r="D319" i="1"/>
  <c r="C320" i="1"/>
  <c r="D320" i="1"/>
  <c r="C321" i="1"/>
  <c r="D321" i="1"/>
  <c r="C322" i="1"/>
  <c r="D322" i="1"/>
  <c r="C323" i="1"/>
  <c r="D323" i="1"/>
  <c r="C324" i="1"/>
  <c r="D324" i="1"/>
  <c r="C325" i="1"/>
  <c r="D325" i="1"/>
  <c r="C326" i="1"/>
  <c r="D326" i="1"/>
  <c r="C327" i="1"/>
  <c r="D327" i="1"/>
  <c r="C328" i="1"/>
  <c r="D328" i="1"/>
  <c r="C329" i="1"/>
  <c r="D329" i="1"/>
  <c r="C330" i="1"/>
  <c r="D330" i="1"/>
  <c r="C331" i="1"/>
  <c r="D331" i="1"/>
  <c r="C332" i="1"/>
  <c r="D332" i="1"/>
  <c r="C333" i="1"/>
  <c r="D333" i="1"/>
  <c r="C334" i="1"/>
  <c r="D334" i="1"/>
  <c r="C335" i="1"/>
  <c r="D335" i="1"/>
  <c r="C336" i="1"/>
  <c r="D336" i="1"/>
  <c r="C337" i="1"/>
  <c r="D337" i="1"/>
  <c r="C338" i="1"/>
  <c r="D338" i="1"/>
  <c r="C339" i="1"/>
  <c r="D339" i="1"/>
  <c r="C340" i="1"/>
  <c r="D340" i="1"/>
  <c r="C341" i="1"/>
  <c r="D341" i="1"/>
  <c r="C342" i="1"/>
  <c r="D342" i="1"/>
  <c r="C343" i="1"/>
  <c r="D343" i="1"/>
  <c r="C344" i="1"/>
  <c r="D344" i="1"/>
  <c r="C345" i="1"/>
  <c r="D345" i="1"/>
  <c r="C346" i="1"/>
  <c r="D346" i="1"/>
  <c r="C347" i="1"/>
  <c r="D347" i="1"/>
  <c r="C348" i="1"/>
  <c r="D348" i="1"/>
  <c r="C349" i="1"/>
  <c r="D349" i="1"/>
  <c r="C350" i="1"/>
  <c r="D350" i="1"/>
  <c r="C351" i="1"/>
  <c r="D351" i="1"/>
  <c r="C352" i="1"/>
  <c r="D352" i="1"/>
  <c r="C353" i="1"/>
  <c r="D353" i="1"/>
  <c r="C354" i="1"/>
  <c r="D354" i="1"/>
  <c r="C355" i="1"/>
  <c r="D355" i="1"/>
  <c r="C356" i="1"/>
  <c r="D356" i="1"/>
  <c r="C357" i="1"/>
  <c r="D357" i="1"/>
  <c r="C358" i="1"/>
  <c r="D358" i="1"/>
  <c r="C359" i="1"/>
  <c r="D359" i="1"/>
  <c r="C360" i="1"/>
  <c r="D360" i="1"/>
  <c r="C361" i="1"/>
  <c r="D361" i="1"/>
  <c r="C362" i="1"/>
  <c r="D362" i="1"/>
  <c r="C363" i="1"/>
  <c r="D363" i="1"/>
  <c r="C364" i="1"/>
  <c r="D364" i="1"/>
  <c r="C365" i="1"/>
  <c r="D365" i="1"/>
  <c r="C366" i="1"/>
  <c r="D366" i="1"/>
  <c r="C367" i="1"/>
  <c r="D367" i="1"/>
  <c r="C368" i="1"/>
  <c r="D368" i="1"/>
  <c r="C369" i="1"/>
  <c r="D369" i="1"/>
  <c r="C370" i="1"/>
  <c r="D370" i="1"/>
  <c r="C371" i="1"/>
  <c r="D371" i="1"/>
  <c r="C372" i="1"/>
  <c r="D372" i="1"/>
  <c r="C373" i="1"/>
  <c r="D373" i="1"/>
  <c r="C374" i="1"/>
  <c r="D374" i="1"/>
  <c r="C375" i="1"/>
  <c r="D375" i="1"/>
  <c r="C376" i="1"/>
  <c r="D376" i="1"/>
  <c r="C377" i="1"/>
  <c r="D377" i="1"/>
  <c r="C378" i="1"/>
  <c r="D378" i="1"/>
  <c r="C379" i="1"/>
  <c r="D379" i="1"/>
  <c r="C380" i="1"/>
  <c r="D380" i="1"/>
  <c r="C381" i="1"/>
  <c r="D381" i="1"/>
  <c r="C382" i="1"/>
  <c r="D382" i="1"/>
  <c r="C383" i="1"/>
  <c r="D383" i="1"/>
  <c r="C384" i="1"/>
  <c r="D384" i="1"/>
  <c r="C385" i="1"/>
  <c r="D385" i="1"/>
  <c r="C386" i="1"/>
  <c r="D386" i="1"/>
  <c r="C387" i="1"/>
  <c r="D387" i="1"/>
  <c r="C388" i="1"/>
  <c r="D388" i="1"/>
  <c r="C389" i="1"/>
  <c r="D389" i="1"/>
  <c r="C390" i="1"/>
  <c r="D390" i="1"/>
  <c r="C391" i="1"/>
  <c r="D391" i="1"/>
  <c r="C392" i="1"/>
  <c r="D392" i="1"/>
  <c r="C393" i="1"/>
  <c r="D393" i="1"/>
  <c r="C394" i="1"/>
  <c r="D394" i="1"/>
  <c r="C395" i="1"/>
  <c r="D395" i="1"/>
  <c r="C396" i="1"/>
  <c r="D396" i="1"/>
  <c r="C397" i="1"/>
  <c r="D397" i="1"/>
  <c r="C398" i="1"/>
  <c r="D398" i="1"/>
  <c r="C399" i="1"/>
  <c r="D399" i="1"/>
  <c r="C400" i="1"/>
  <c r="D400" i="1"/>
  <c r="C401" i="1"/>
  <c r="D401" i="1"/>
  <c r="C402" i="1"/>
  <c r="D402" i="1"/>
  <c r="C403" i="1"/>
  <c r="D403" i="1"/>
  <c r="C404" i="1"/>
  <c r="D404" i="1"/>
  <c r="C405" i="1"/>
  <c r="D405" i="1"/>
  <c r="C406" i="1"/>
  <c r="D406" i="1"/>
  <c r="C407" i="1"/>
  <c r="D407" i="1"/>
  <c r="C408" i="1"/>
  <c r="D408" i="1"/>
  <c r="C409" i="1"/>
  <c r="D409" i="1"/>
  <c r="C410" i="1"/>
  <c r="D410" i="1"/>
  <c r="C411" i="1"/>
  <c r="D411" i="1"/>
  <c r="C412" i="1"/>
  <c r="D412" i="1"/>
  <c r="C413" i="1"/>
  <c r="D413" i="1"/>
  <c r="C414" i="1"/>
  <c r="D414" i="1"/>
  <c r="C415" i="1"/>
  <c r="D415" i="1"/>
  <c r="C416" i="1"/>
  <c r="D416" i="1"/>
  <c r="C417" i="1"/>
  <c r="D417" i="1"/>
  <c r="C418" i="1"/>
  <c r="D418" i="1"/>
  <c r="C419" i="1"/>
  <c r="D419" i="1"/>
  <c r="C420" i="1"/>
  <c r="D420" i="1"/>
  <c r="C421" i="1"/>
  <c r="D421" i="1"/>
  <c r="C422" i="1"/>
  <c r="D422" i="1"/>
  <c r="C423" i="1"/>
  <c r="D423" i="1"/>
  <c r="C424" i="1"/>
  <c r="D424" i="1"/>
  <c r="C425" i="1"/>
  <c r="D425" i="1"/>
  <c r="C426" i="1"/>
  <c r="D426" i="1"/>
  <c r="C427" i="1"/>
  <c r="D427" i="1"/>
  <c r="C428" i="1"/>
  <c r="D428" i="1"/>
  <c r="C429" i="1"/>
  <c r="D429" i="1"/>
  <c r="C430" i="1"/>
  <c r="D430" i="1"/>
  <c r="C431" i="1"/>
  <c r="D431" i="1"/>
  <c r="C432" i="1"/>
  <c r="D432" i="1"/>
  <c r="C433" i="1"/>
  <c r="D433" i="1"/>
  <c r="C434" i="1"/>
  <c r="D434" i="1"/>
  <c r="C435" i="1"/>
  <c r="D435" i="1"/>
  <c r="C436" i="1"/>
  <c r="D436" i="1"/>
  <c r="C437" i="1"/>
  <c r="D437" i="1"/>
  <c r="C438" i="1"/>
  <c r="D438" i="1"/>
  <c r="C439" i="1"/>
  <c r="D439" i="1"/>
  <c r="C440" i="1"/>
  <c r="D440" i="1"/>
  <c r="C441" i="1"/>
  <c r="D441" i="1"/>
  <c r="C442" i="1"/>
  <c r="D442" i="1"/>
  <c r="C443" i="1"/>
  <c r="D443" i="1"/>
  <c r="C444" i="1"/>
  <c r="D444" i="1"/>
  <c r="C445" i="1"/>
  <c r="D445" i="1"/>
  <c r="C446" i="1"/>
  <c r="D446" i="1"/>
  <c r="C447" i="1"/>
  <c r="D447" i="1"/>
  <c r="C448" i="1"/>
  <c r="D448" i="1"/>
  <c r="C449" i="1"/>
  <c r="D449" i="1"/>
  <c r="C450" i="1"/>
  <c r="D450" i="1"/>
  <c r="C451" i="1"/>
  <c r="D451" i="1"/>
  <c r="C452" i="1"/>
  <c r="D452" i="1"/>
  <c r="C453" i="1"/>
  <c r="D453" i="1"/>
  <c r="C454" i="1"/>
  <c r="D454" i="1"/>
  <c r="C455" i="1"/>
  <c r="D455" i="1"/>
  <c r="C456" i="1"/>
  <c r="D456" i="1"/>
  <c r="C457" i="1"/>
  <c r="D457" i="1"/>
  <c r="C458" i="1"/>
  <c r="D458" i="1"/>
  <c r="C459" i="1"/>
  <c r="D459" i="1"/>
  <c r="C460" i="1"/>
  <c r="D460" i="1"/>
  <c r="C461" i="1"/>
  <c r="D461" i="1"/>
  <c r="C462" i="1"/>
  <c r="D462" i="1"/>
  <c r="C463" i="1"/>
  <c r="D463" i="1"/>
  <c r="C464" i="1"/>
  <c r="D464" i="1"/>
  <c r="C465" i="1"/>
  <c r="D465" i="1"/>
  <c r="C466" i="1"/>
  <c r="D466" i="1"/>
  <c r="C467" i="1"/>
  <c r="D467" i="1"/>
  <c r="C468" i="1"/>
  <c r="D468" i="1"/>
  <c r="C469" i="1"/>
  <c r="D469" i="1"/>
  <c r="C470" i="1"/>
  <c r="D470" i="1"/>
  <c r="C471" i="1"/>
  <c r="D471" i="1"/>
  <c r="C472" i="1"/>
  <c r="D472" i="1"/>
  <c r="C473" i="1"/>
  <c r="D473" i="1"/>
  <c r="C474" i="1"/>
  <c r="D474" i="1"/>
  <c r="C475" i="1"/>
  <c r="D475" i="1"/>
  <c r="C476" i="1"/>
  <c r="D476" i="1"/>
  <c r="C477" i="1"/>
  <c r="D477" i="1"/>
  <c r="C478" i="1"/>
  <c r="D478" i="1"/>
  <c r="C479" i="1"/>
  <c r="D479" i="1"/>
  <c r="C480" i="1"/>
  <c r="D480" i="1"/>
  <c r="C481" i="1"/>
  <c r="D481" i="1"/>
  <c r="C482" i="1"/>
  <c r="D482" i="1"/>
  <c r="C483" i="1"/>
  <c r="D483" i="1"/>
  <c r="C484" i="1"/>
  <c r="D484" i="1"/>
  <c r="C485" i="1"/>
  <c r="D485" i="1"/>
  <c r="C486" i="1"/>
  <c r="D486" i="1"/>
  <c r="C487" i="1"/>
  <c r="D487" i="1"/>
  <c r="C488" i="1"/>
  <c r="D488" i="1"/>
  <c r="C489" i="1"/>
  <c r="D489" i="1"/>
  <c r="C490" i="1"/>
  <c r="D490" i="1"/>
  <c r="C491" i="1"/>
  <c r="D491" i="1"/>
  <c r="C492" i="1"/>
  <c r="D492" i="1"/>
  <c r="C493" i="1"/>
  <c r="D493" i="1"/>
  <c r="C494" i="1"/>
  <c r="D494" i="1"/>
  <c r="C495" i="1"/>
  <c r="D495" i="1"/>
  <c r="C496" i="1"/>
  <c r="D496" i="1"/>
  <c r="C497" i="1"/>
  <c r="D497" i="1"/>
  <c r="C498" i="1"/>
  <c r="D498" i="1"/>
  <c r="C499" i="1"/>
  <c r="D499" i="1"/>
  <c r="C500" i="1"/>
  <c r="D500" i="1"/>
  <c r="C501" i="1"/>
  <c r="D501" i="1"/>
  <c r="C502" i="1"/>
  <c r="D502" i="1"/>
  <c r="C503" i="1"/>
  <c r="D503" i="1"/>
  <c r="C504" i="1"/>
  <c r="D504" i="1"/>
  <c r="C505" i="1"/>
  <c r="D505" i="1"/>
  <c r="C506" i="1"/>
  <c r="D506" i="1"/>
  <c r="C507" i="1"/>
  <c r="D507" i="1"/>
  <c r="C508" i="1"/>
  <c r="D508" i="1"/>
  <c r="C509" i="1"/>
  <c r="D509" i="1"/>
  <c r="C510" i="1"/>
  <c r="D510" i="1"/>
  <c r="C511" i="1"/>
  <c r="D511" i="1"/>
  <c r="C512" i="1"/>
  <c r="D512" i="1"/>
  <c r="C513" i="1"/>
  <c r="D513" i="1"/>
  <c r="C514" i="1"/>
  <c r="D514" i="1"/>
  <c r="C515" i="1"/>
  <c r="D515" i="1"/>
  <c r="C516" i="1"/>
  <c r="D516" i="1"/>
  <c r="C517" i="1"/>
  <c r="D517" i="1"/>
  <c r="C518" i="1"/>
  <c r="D518" i="1"/>
  <c r="C519" i="1"/>
  <c r="D519" i="1"/>
  <c r="C520" i="1"/>
  <c r="D520" i="1"/>
  <c r="C521" i="1"/>
  <c r="D521" i="1"/>
  <c r="C522" i="1"/>
  <c r="D522" i="1"/>
  <c r="C523" i="1"/>
  <c r="D523" i="1"/>
  <c r="C524" i="1"/>
  <c r="D524" i="1"/>
  <c r="C525" i="1"/>
  <c r="D525" i="1"/>
  <c r="C526" i="1"/>
  <c r="D526" i="1"/>
  <c r="C527" i="1"/>
  <c r="D527" i="1"/>
  <c r="C528" i="1"/>
  <c r="D528" i="1"/>
  <c r="C529" i="1"/>
  <c r="D529" i="1"/>
  <c r="C530" i="1"/>
  <c r="D530" i="1"/>
  <c r="C531" i="1"/>
  <c r="D531" i="1"/>
  <c r="C532" i="1"/>
  <c r="D532" i="1"/>
  <c r="C533" i="1"/>
  <c r="D533" i="1"/>
  <c r="C534" i="1"/>
  <c r="D534" i="1"/>
  <c r="C535" i="1"/>
  <c r="D535" i="1"/>
  <c r="C536" i="1"/>
  <c r="D536" i="1"/>
  <c r="C537" i="1"/>
  <c r="D537" i="1"/>
  <c r="C538" i="1"/>
  <c r="D538" i="1"/>
  <c r="C539" i="1"/>
  <c r="D539" i="1"/>
  <c r="C540" i="1"/>
  <c r="D540" i="1"/>
  <c r="C541" i="1"/>
  <c r="D541" i="1"/>
  <c r="C542" i="1"/>
  <c r="D542" i="1"/>
  <c r="C543" i="1"/>
  <c r="D543" i="1"/>
  <c r="C544" i="1"/>
  <c r="D544" i="1"/>
  <c r="C545" i="1"/>
  <c r="D545" i="1"/>
  <c r="C546" i="1"/>
  <c r="D546" i="1"/>
  <c r="C547" i="1"/>
  <c r="D547" i="1"/>
  <c r="C548" i="1"/>
  <c r="D548" i="1"/>
  <c r="C549" i="1"/>
  <c r="D549" i="1"/>
  <c r="C550" i="1"/>
  <c r="D550" i="1"/>
  <c r="C551" i="1"/>
  <c r="D551" i="1"/>
  <c r="C552" i="1"/>
  <c r="D552" i="1"/>
  <c r="C553" i="1"/>
  <c r="D553" i="1"/>
  <c r="C554" i="1"/>
  <c r="D554" i="1"/>
  <c r="C555" i="1"/>
  <c r="D555" i="1"/>
  <c r="C556" i="1"/>
  <c r="D556" i="1"/>
  <c r="C557" i="1"/>
  <c r="D557" i="1"/>
  <c r="C558" i="1"/>
  <c r="D558" i="1"/>
  <c r="C559" i="1"/>
  <c r="D559" i="1"/>
  <c r="C560" i="1"/>
  <c r="D560" i="1"/>
  <c r="C561" i="1"/>
  <c r="D561" i="1"/>
  <c r="C562" i="1"/>
  <c r="D562" i="1"/>
  <c r="C563" i="1"/>
  <c r="D563" i="1"/>
  <c r="C564" i="1"/>
  <c r="D564" i="1"/>
  <c r="C565" i="1"/>
  <c r="D565" i="1"/>
  <c r="C566" i="1"/>
  <c r="D566" i="1"/>
  <c r="C567" i="1"/>
  <c r="D567" i="1"/>
  <c r="C568" i="1"/>
  <c r="D568" i="1"/>
  <c r="C569" i="1"/>
  <c r="D569" i="1"/>
  <c r="C570" i="1"/>
  <c r="D570" i="1"/>
  <c r="C571" i="1"/>
  <c r="D571" i="1"/>
  <c r="C572" i="1"/>
  <c r="D572" i="1"/>
  <c r="C573" i="1"/>
  <c r="D573" i="1"/>
  <c r="C574" i="1"/>
  <c r="D574" i="1"/>
  <c r="C575" i="1"/>
  <c r="D575" i="1"/>
  <c r="C576" i="1"/>
  <c r="D576" i="1"/>
  <c r="C577" i="1"/>
  <c r="D577" i="1"/>
  <c r="C578" i="1"/>
  <c r="D578" i="1"/>
  <c r="C579" i="1"/>
  <c r="D579" i="1"/>
  <c r="C580" i="1"/>
  <c r="D580" i="1"/>
  <c r="C581" i="1"/>
  <c r="D581" i="1"/>
  <c r="C582" i="1"/>
  <c r="D582" i="1"/>
  <c r="C583" i="1"/>
  <c r="D583" i="1"/>
  <c r="C584" i="1"/>
  <c r="D584" i="1"/>
  <c r="C585" i="1"/>
  <c r="D585" i="1"/>
  <c r="C586" i="1"/>
  <c r="D586" i="1"/>
  <c r="C587" i="1"/>
  <c r="D587" i="1"/>
  <c r="C588" i="1"/>
  <c r="D588" i="1"/>
  <c r="C589" i="1"/>
  <c r="D589" i="1"/>
  <c r="C590" i="1"/>
  <c r="D590" i="1"/>
  <c r="C591" i="1"/>
  <c r="D591" i="1"/>
  <c r="C592" i="1"/>
  <c r="D592" i="1"/>
  <c r="C593" i="1"/>
  <c r="D593" i="1"/>
  <c r="C594" i="1"/>
  <c r="D594" i="1"/>
  <c r="C595" i="1"/>
  <c r="D595" i="1"/>
  <c r="C596" i="1"/>
  <c r="D596" i="1"/>
  <c r="C597" i="1"/>
  <c r="D597" i="1"/>
  <c r="C598" i="1"/>
  <c r="D598" i="1"/>
  <c r="C599" i="1"/>
  <c r="D599" i="1"/>
  <c r="C600" i="1"/>
  <c r="D600" i="1"/>
  <c r="C601" i="1"/>
  <c r="D601" i="1"/>
  <c r="C602" i="1"/>
  <c r="D602" i="1"/>
  <c r="C603" i="1"/>
  <c r="D603" i="1"/>
  <c r="C604" i="1"/>
  <c r="D604" i="1"/>
  <c r="C605" i="1"/>
  <c r="D605" i="1"/>
  <c r="C606" i="1"/>
  <c r="D606" i="1"/>
  <c r="C607" i="1"/>
  <c r="D607" i="1"/>
  <c r="C608" i="1"/>
  <c r="D608" i="1"/>
  <c r="C609" i="1"/>
  <c r="D609" i="1"/>
  <c r="C610" i="1"/>
  <c r="D610" i="1"/>
  <c r="C611" i="1"/>
  <c r="D611" i="1"/>
  <c r="C612" i="1"/>
  <c r="D612" i="1"/>
  <c r="C613" i="1"/>
  <c r="D613" i="1"/>
  <c r="C614" i="1"/>
  <c r="D614" i="1"/>
  <c r="C615" i="1"/>
  <c r="D615" i="1"/>
  <c r="C616" i="1"/>
  <c r="D616" i="1"/>
  <c r="C617" i="1"/>
  <c r="D617" i="1"/>
  <c r="C618" i="1"/>
  <c r="D618" i="1"/>
  <c r="C619" i="1"/>
  <c r="D619" i="1"/>
  <c r="C620" i="1"/>
  <c r="D620" i="1"/>
  <c r="C621" i="1"/>
  <c r="D621" i="1"/>
  <c r="C622" i="1"/>
  <c r="D622" i="1"/>
  <c r="C623" i="1"/>
  <c r="D623" i="1"/>
  <c r="C624" i="1"/>
  <c r="D624" i="1"/>
  <c r="C625" i="1"/>
  <c r="D625" i="1"/>
  <c r="C626" i="1"/>
  <c r="D626" i="1"/>
  <c r="C627" i="1"/>
  <c r="D627" i="1"/>
  <c r="C628" i="1"/>
  <c r="D628" i="1"/>
  <c r="C629" i="1"/>
  <c r="D629" i="1"/>
  <c r="C630" i="1"/>
  <c r="D630" i="1"/>
  <c r="C631" i="1"/>
  <c r="D631" i="1"/>
  <c r="C632" i="1"/>
  <c r="D632" i="1"/>
  <c r="C633" i="1"/>
  <c r="D633" i="1"/>
  <c r="C634" i="1"/>
  <c r="D634" i="1"/>
  <c r="C635" i="1"/>
  <c r="D635" i="1"/>
  <c r="C636" i="1"/>
  <c r="D636" i="1"/>
  <c r="C637" i="1"/>
  <c r="D637" i="1"/>
  <c r="C638" i="1"/>
  <c r="D638" i="1"/>
  <c r="C639" i="1"/>
  <c r="D639" i="1"/>
  <c r="C640" i="1"/>
  <c r="D640" i="1"/>
  <c r="C641" i="1"/>
  <c r="D641" i="1"/>
  <c r="C642" i="1"/>
  <c r="D642" i="1"/>
  <c r="C643" i="1"/>
  <c r="D643" i="1"/>
  <c r="C644" i="1"/>
  <c r="D644" i="1"/>
  <c r="C645" i="1"/>
  <c r="D645" i="1"/>
  <c r="C646" i="1"/>
  <c r="D646" i="1"/>
  <c r="C647" i="1"/>
  <c r="D647" i="1"/>
  <c r="C648" i="1"/>
  <c r="D648" i="1"/>
  <c r="C649" i="1"/>
  <c r="D649" i="1"/>
  <c r="C650" i="1"/>
  <c r="D650" i="1"/>
  <c r="C651" i="1"/>
  <c r="D651" i="1"/>
  <c r="C652" i="1"/>
  <c r="D652" i="1"/>
  <c r="C653" i="1"/>
  <c r="D653" i="1"/>
  <c r="C654" i="1"/>
  <c r="D654" i="1"/>
  <c r="C655" i="1"/>
  <c r="D655" i="1"/>
  <c r="C656" i="1"/>
  <c r="D656" i="1"/>
  <c r="C657" i="1"/>
  <c r="D657" i="1"/>
  <c r="C658" i="1"/>
  <c r="D658" i="1"/>
  <c r="C659" i="1"/>
  <c r="D659" i="1"/>
  <c r="C660" i="1"/>
  <c r="D660" i="1"/>
  <c r="C661" i="1"/>
  <c r="D661" i="1"/>
  <c r="C662" i="1"/>
  <c r="D662" i="1"/>
  <c r="C663" i="1"/>
  <c r="D663" i="1"/>
  <c r="C664" i="1"/>
  <c r="D664" i="1"/>
  <c r="C665" i="1"/>
  <c r="D665" i="1"/>
  <c r="C666" i="1"/>
  <c r="D666" i="1"/>
  <c r="C667" i="1"/>
  <c r="D667" i="1"/>
  <c r="C668" i="1"/>
  <c r="D668" i="1"/>
  <c r="C669" i="1"/>
  <c r="D669" i="1"/>
  <c r="C670" i="1"/>
  <c r="D670" i="1"/>
  <c r="C671" i="1"/>
  <c r="D671" i="1"/>
  <c r="C672" i="1"/>
  <c r="D672" i="1"/>
  <c r="C673" i="1"/>
  <c r="D673" i="1"/>
  <c r="C674" i="1"/>
  <c r="D674" i="1"/>
  <c r="C675" i="1"/>
  <c r="D675" i="1"/>
  <c r="C676" i="1"/>
  <c r="D676" i="1"/>
  <c r="C677" i="1"/>
  <c r="D677" i="1"/>
  <c r="C678" i="1"/>
  <c r="D678" i="1"/>
  <c r="C679" i="1"/>
  <c r="D679" i="1"/>
  <c r="C680" i="1"/>
  <c r="D680" i="1"/>
  <c r="C681" i="1"/>
  <c r="D681" i="1"/>
  <c r="C682" i="1"/>
  <c r="D682" i="1"/>
  <c r="C683" i="1"/>
  <c r="D683" i="1"/>
  <c r="C684" i="1"/>
  <c r="D684" i="1"/>
  <c r="C685" i="1"/>
  <c r="D685" i="1"/>
  <c r="C686" i="1"/>
  <c r="D686" i="1"/>
  <c r="C687" i="1"/>
  <c r="D687" i="1"/>
  <c r="C688" i="1"/>
  <c r="D688" i="1"/>
  <c r="C689" i="1"/>
  <c r="D689" i="1"/>
  <c r="C690" i="1"/>
  <c r="D690" i="1"/>
  <c r="C691" i="1"/>
  <c r="D691" i="1"/>
  <c r="C692" i="1"/>
  <c r="D692" i="1"/>
  <c r="C693" i="1"/>
  <c r="D693" i="1"/>
  <c r="C694" i="1"/>
  <c r="D694" i="1"/>
  <c r="C695" i="1"/>
  <c r="D695" i="1"/>
  <c r="C696" i="1"/>
  <c r="D696" i="1"/>
  <c r="C697" i="1"/>
  <c r="D697" i="1"/>
  <c r="C698" i="1"/>
  <c r="D698" i="1"/>
  <c r="C699" i="1"/>
  <c r="D699" i="1"/>
  <c r="C700" i="1"/>
  <c r="D700" i="1"/>
  <c r="C701" i="1"/>
  <c r="D701" i="1"/>
  <c r="C702" i="1"/>
  <c r="D702" i="1"/>
  <c r="C703" i="1"/>
  <c r="D703" i="1"/>
  <c r="C704" i="1"/>
  <c r="D704" i="1"/>
  <c r="C705" i="1"/>
  <c r="D705" i="1"/>
  <c r="C706" i="1"/>
  <c r="D706" i="1"/>
  <c r="C707" i="1"/>
  <c r="D707" i="1"/>
  <c r="C708" i="1"/>
  <c r="D708" i="1"/>
  <c r="C709" i="1"/>
  <c r="D709" i="1"/>
  <c r="C710" i="1"/>
  <c r="D710" i="1"/>
  <c r="C711" i="1"/>
  <c r="D711" i="1"/>
  <c r="C712" i="1"/>
  <c r="D712" i="1"/>
  <c r="C713" i="1"/>
  <c r="D713" i="1"/>
  <c r="C714" i="1"/>
  <c r="D714" i="1"/>
  <c r="C715" i="1"/>
  <c r="D715" i="1"/>
  <c r="C716" i="1"/>
  <c r="D716" i="1"/>
  <c r="C717" i="1"/>
  <c r="D717" i="1"/>
  <c r="C718" i="1"/>
  <c r="D718" i="1"/>
  <c r="C719" i="1"/>
  <c r="D719" i="1"/>
  <c r="C720" i="1"/>
  <c r="D720" i="1"/>
  <c r="C721" i="1"/>
  <c r="D721" i="1"/>
  <c r="C722" i="1"/>
  <c r="D722" i="1"/>
  <c r="C723" i="1"/>
  <c r="D723" i="1"/>
  <c r="C724" i="1"/>
  <c r="D724" i="1"/>
  <c r="C725" i="1"/>
  <c r="D725" i="1"/>
  <c r="C726" i="1"/>
  <c r="D726" i="1"/>
  <c r="C727" i="1"/>
  <c r="D727" i="1"/>
  <c r="C728" i="1"/>
  <c r="D728" i="1"/>
  <c r="C729" i="1"/>
  <c r="D729" i="1"/>
  <c r="C730" i="1"/>
  <c r="D730" i="1"/>
  <c r="C731" i="1"/>
  <c r="D731" i="1"/>
  <c r="C732" i="1"/>
  <c r="D732" i="1"/>
  <c r="C733" i="1"/>
  <c r="D733" i="1"/>
  <c r="C734" i="1"/>
  <c r="D734" i="1"/>
  <c r="C735" i="1"/>
  <c r="D735" i="1"/>
  <c r="C736" i="1"/>
  <c r="D736" i="1"/>
  <c r="C737" i="1"/>
  <c r="D737" i="1"/>
  <c r="C738" i="1"/>
  <c r="D738" i="1"/>
  <c r="C739" i="1"/>
  <c r="D739" i="1"/>
  <c r="C740" i="1"/>
  <c r="D740" i="1"/>
  <c r="C741" i="1"/>
  <c r="D741" i="1"/>
  <c r="C742" i="1"/>
  <c r="D742" i="1"/>
  <c r="C743" i="1"/>
  <c r="D743" i="1"/>
  <c r="C744" i="1"/>
  <c r="D744" i="1"/>
  <c r="C745" i="1"/>
  <c r="D745" i="1"/>
  <c r="C746" i="1"/>
  <c r="D746" i="1"/>
  <c r="C747" i="1"/>
  <c r="D747" i="1"/>
  <c r="C748" i="1"/>
  <c r="D748" i="1"/>
  <c r="C749" i="1"/>
  <c r="D749" i="1"/>
  <c r="C750" i="1"/>
  <c r="D750" i="1"/>
  <c r="C751" i="1"/>
  <c r="D751" i="1"/>
  <c r="C752" i="1"/>
  <c r="D752" i="1"/>
  <c r="C753" i="1"/>
  <c r="D753" i="1"/>
  <c r="C754" i="1"/>
  <c r="D754" i="1"/>
  <c r="C755" i="1"/>
  <c r="D755" i="1"/>
  <c r="C756" i="1"/>
  <c r="D756" i="1"/>
  <c r="C757" i="1"/>
  <c r="D757" i="1"/>
  <c r="C758" i="1"/>
  <c r="D758" i="1"/>
  <c r="C759" i="1"/>
  <c r="D759" i="1"/>
  <c r="C760" i="1"/>
  <c r="D760" i="1"/>
  <c r="C761" i="1"/>
  <c r="D761" i="1"/>
  <c r="C762" i="1"/>
  <c r="D762" i="1"/>
  <c r="C763" i="1"/>
  <c r="D763" i="1"/>
  <c r="C764" i="1"/>
  <c r="D764" i="1"/>
  <c r="C765" i="1"/>
  <c r="D765" i="1"/>
  <c r="C766" i="1"/>
  <c r="D766" i="1"/>
  <c r="C767" i="1"/>
  <c r="D767" i="1"/>
  <c r="C768" i="1"/>
  <c r="D768" i="1"/>
  <c r="C769" i="1"/>
  <c r="D769" i="1"/>
  <c r="C770" i="1"/>
  <c r="D770" i="1"/>
  <c r="C771" i="1"/>
  <c r="D771" i="1"/>
  <c r="C772" i="1"/>
  <c r="D772" i="1"/>
  <c r="C773" i="1"/>
  <c r="D773" i="1"/>
  <c r="C774" i="1"/>
  <c r="D774" i="1"/>
  <c r="C775" i="1"/>
  <c r="D775" i="1"/>
  <c r="C776" i="1"/>
  <c r="D776" i="1"/>
  <c r="C777" i="1"/>
  <c r="D777" i="1"/>
  <c r="C778" i="1"/>
  <c r="D778" i="1"/>
  <c r="C779" i="1"/>
  <c r="D779" i="1"/>
  <c r="C780" i="1"/>
  <c r="D780" i="1"/>
  <c r="C781" i="1"/>
  <c r="D781" i="1"/>
  <c r="C782" i="1"/>
  <c r="D782" i="1"/>
  <c r="C783" i="1"/>
  <c r="D783" i="1"/>
  <c r="C784" i="1"/>
  <c r="D784" i="1"/>
  <c r="C785" i="1"/>
  <c r="D785" i="1"/>
  <c r="C786" i="1"/>
  <c r="D786" i="1"/>
  <c r="C787" i="1"/>
  <c r="D787" i="1"/>
  <c r="C788" i="1"/>
  <c r="D788" i="1"/>
  <c r="C789" i="1"/>
  <c r="D789" i="1"/>
  <c r="C790" i="1"/>
  <c r="D790" i="1"/>
  <c r="C791" i="1"/>
  <c r="D791" i="1"/>
  <c r="C792" i="1"/>
  <c r="D792" i="1"/>
  <c r="C793" i="1"/>
  <c r="D793" i="1"/>
  <c r="C794" i="1"/>
  <c r="D794" i="1"/>
  <c r="C795" i="1"/>
  <c r="D795" i="1"/>
  <c r="C796" i="1"/>
  <c r="D796" i="1"/>
  <c r="C797" i="1"/>
  <c r="D797" i="1"/>
  <c r="C798" i="1"/>
  <c r="D798" i="1"/>
  <c r="C799" i="1"/>
  <c r="D799" i="1"/>
  <c r="C800" i="1"/>
  <c r="D800" i="1"/>
  <c r="C801" i="1"/>
  <c r="D801" i="1"/>
  <c r="C802" i="1"/>
  <c r="D802" i="1"/>
  <c r="C803" i="1"/>
  <c r="D803" i="1"/>
  <c r="C804" i="1"/>
  <c r="D804" i="1"/>
  <c r="C805" i="1"/>
  <c r="D805" i="1"/>
  <c r="C806" i="1"/>
  <c r="D806" i="1"/>
  <c r="C807" i="1"/>
  <c r="D807" i="1"/>
  <c r="C808" i="1"/>
  <c r="D808" i="1"/>
  <c r="C809" i="1"/>
  <c r="D809" i="1"/>
  <c r="C810" i="1"/>
  <c r="D810" i="1"/>
  <c r="C811" i="1"/>
  <c r="D811" i="1"/>
  <c r="C812" i="1"/>
  <c r="D812" i="1"/>
  <c r="C813" i="1"/>
  <c r="D813" i="1"/>
  <c r="C814" i="1"/>
  <c r="D814" i="1"/>
  <c r="C815" i="1"/>
  <c r="D815" i="1"/>
  <c r="C816" i="1"/>
  <c r="D816" i="1"/>
  <c r="C817" i="1"/>
  <c r="D817" i="1"/>
  <c r="C818" i="1"/>
  <c r="D818" i="1"/>
  <c r="C819" i="1"/>
  <c r="D819" i="1"/>
  <c r="C820" i="1"/>
  <c r="D820" i="1"/>
  <c r="C821" i="1"/>
  <c r="D821" i="1"/>
  <c r="C822" i="1"/>
  <c r="D822" i="1"/>
  <c r="C823" i="1"/>
  <c r="D823" i="1"/>
  <c r="C824" i="1"/>
  <c r="D824" i="1"/>
  <c r="C825" i="1"/>
  <c r="D825" i="1"/>
  <c r="C826" i="1"/>
  <c r="D826" i="1"/>
  <c r="C827" i="1"/>
  <c r="D827" i="1"/>
  <c r="C828" i="1"/>
  <c r="D828" i="1"/>
  <c r="C829" i="1"/>
  <c r="D829" i="1"/>
  <c r="C830" i="1"/>
  <c r="D830" i="1"/>
  <c r="C831" i="1"/>
  <c r="D831" i="1"/>
  <c r="C832" i="1"/>
  <c r="D832" i="1"/>
  <c r="C833" i="1"/>
  <c r="D833" i="1"/>
  <c r="C834" i="1"/>
  <c r="D834" i="1"/>
  <c r="C835" i="1"/>
  <c r="D835" i="1"/>
  <c r="C836" i="1"/>
  <c r="D836" i="1"/>
  <c r="C837" i="1"/>
  <c r="D837" i="1"/>
  <c r="C838" i="1"/>
  <c r="D838" i="1"/>
  <c r="C839" i="1"/>
  <c r="D839" i="1"/>
  <c r="C840" i="1"/>
  <c r="D840" i="1"/>
  <c r="C841" i="1"/>
  <c r="D841" i="1"/>
  <c r="C842" i="1"/>
  <c r="D842" i="1"/>
  <c r="C843" i="1"/>
  <c r="D843" i="1"/>
  <c r="C844" i="1"/>
  <c r="D844" i="1"/>
  <c r="C845" i="1"/>
  <c r="D845" i="1"/>
  <c r="C846" i="1"/>
  <c r="D846" i="1"/>
  <c r="C847" i="1"/>
  <c r="D847" i="1"/>
  <c r="C848" i="1"/>
  <c r="D848" i="1"/>
  <c r="C849" i="1"/>
  <c r="D849" i="1"/>
  <c r="C850" i="1"/>
  <c r="D850" i="1"/>
  <c r="C851" i="1"/>
  <c r="D851" i="1"/>
  <c r="C852" i="1"/>
  <c r="D852" i="1"/>
  <c r="C853" i="1"/>
  <c r="D853" i="1"/>
  <c r="C854" i="1"/>
  <c r="D854" i="1"/>
  <c r="C855" i="1"/>
  <c r="D855" i="1"/>
  <c r="C856" i="1"/>
  <c r="D856" i="1"/>
  <c r="C857" i="1"/>
  <c r="D857" i="1"/>
  <c r="C858" i="1"/>
  <c r="D858" i="1"/>
  <c r="C859" i="1"/>
  <c r="D859" i="1"/>
  <c r="C860" i="1"/>
  <c r="D860" i="1"/>
  <c r="C861" i="1"/>
  <c r="D861" i="1"/>
  <c r="C862" i="1"/>
  <c r="D862" i="1"/>
  <c r="C863" i="1"/>
  <c r="D863" i="1"/>
  <c r="C864" i="1"/>
  <c r="D864" i="1"/>
  <c r="C865" i="1"/>
  <c r="D865" i="1"/>
  <c r="C866" i="1"/>
  <c r="D866" i="1"/>
  <c r="C867" i="1"/>
  <c r="D867" i="1"/>
  <c r="C868" i="1"/>
  <c r="D868" i="1"/>
  <c r="C869" i="1"/>
  <c r="D869" i="1"/>
  <c r="C870" i="1"/>
  <c r="D870" i="1"/>
  <c r="C871" i="1"/>
  <c r="D871" i="1"/>
  <c r="C872" i="1"/>
  <c r="D872" i="1"/>
  <c r="C873" i="1"/>
  <c r="D873" i="1"/>
  <c r="C874" i="1"/>
  <c r="D874" i="1"/>
  <c r="C875" i="1"/>
  <c r="D875" i="1"/>
  <c r="C876" i="1"/>
  <c r="D876" i="1"/>
  <c r="C877" i="1"/>
  <c r="D877" i="1"/>
  <c r="C878" i="1"/>
  <c r="D878" i="1"/>
  <c r="C879" i="1"/>
  <c r="D879" i="1"/>
  <c r="C880" i="1"/>
  <c r="D880" i="1"/>
  <c r="C881" i="1"/>
  <c r="D881" i="1"/>
  <c r="C882" i="1"/>
  <c r="D882" i="1"/>
  <c r="C883" i="1"/>
  <c r="D883" i="1"/>
  <c r="C884" i="1"/>
  <c r="D884" i="1"/>
  <c r="C885" i="1"/>
  <c r="D885" i="1"/>
  <c r="C886" i="1"/>
  <c r="D886" i="1"/>
  <c r="C887" i="1"/>
  <c r="D887" i="1"/>
  <c r="C888" i="1"/>
  <c r="D888" i="1"/>
  <c r="C889" i="1"/>
  <c r="D889" i="1"/>
  <c r="C890" i="1"/>
  <c r="D890" i="1"/>
  <c r="C891" i="1"/>
  <c r="D891" i="1"/>
  <c r="C892" i="1"/>
  <c r="D892" i="1"/>
  <c r="C893" i="1"/>
  <c r="D893" i="1"/>
  <c r="C894" i="1"/>
  <c r="D894" i="1"/>
  <c r="C895" i="1"/>
  <c r="D895" i="1"/>
  <c r="C896" i="1"/>
  <c r="D896" i="1"/>
  <c r="C897" i="1"/>
  <c r="D897" i="1"/>
  <c r="C898" i="1"/>
  <c r="D898" i="1"/>
  <c r="C899" i="1"/>
  <c r="D899" i="1"/>
  <c r="C900" i="1"/>
  <c r="D900" i="1"/>
  <c r="C901" i="1"/>
  <c r="D901" i="1"/>
  <c r="C902" i="1"/>
  <c r="D902" i="1"/>
  <c r="C903" i="1"/>
  <c r="D903" i="1"/>
  <c r="C904" i="1"/>
  <c r="D904" i="1"/>
  <c r="C905" i="1"/>
  <c r="D905" i="1"/>
  <c r="C906" i="1"/>
  <c r="D906" i="1"/>
  <c r="C907" i="1"/>
  <c r="D907" i="1"/>
  <c r="C908" i="1"/>
  <c r="D908" i="1"/>
  <c r="C909" i="1"/>
  <c r="D909" i="1"/>
  <c r="C910" i="1"/>
  <c r="D910" i="1"/>
  <c r="C911" i="1"/>
  <c r="D911" i="1"/>
  <c r="C912" i="1"/>
  <c r="D912" i="1"/>
  <c r="C913" i="1"/>
  <c r="D913" i="1"/>
  <c r="C914" i="1"/>
  <c r="D914" i="1"/>
  <c r="C915" i="1"/>
  <c r="D915" i="1"/>
  <c r="C916" i="1"/>
  <c r="D916" i="1"/>
  <c r="C917" i="1"/>
  <c r="D917" i="1"/>
  <c r="C918" i="1"/>
  <c r="D918" i="1"/>
  <c r="C919" i="1"/>
  <c r="D919" i="1"/>
  <c r="C920" i="1"/>
  <c r="D920" i="1"/>
  <c r="C921" i="1"/>
  <c r="D921" i="1"/>
  <c r="C922" i="1"/>
  <c r="D922" i="1"/>
  <c r="C923" i="1"/>
  <c r="D923" i="1"/>
  <c r="C924" i="1"/>
  <c r="D924" i="1"/>
  <c r="C925" i="1"/>
  <c r="D925" i="1"/>
  <c r="C926" i="1"/>
  <c r="D926" i="1"/>
  <c r="C927" i="1"/>
  <c r="D927" i="1"/>
  <c r="C928" i="1"/>
  <c r="D928" i="1"/>
  <c r="C929" i="1"/>
  <c r="D929" i="1"/>
  <c r="C930" i="1"/>
  <c r="D930" i="1"/>
  <c r="C931" i="1"/>
  <c r="D931" i="1"/>
  <c r="C932" i="1"/>
  <c r="D932" i="1"/>
  <c r="C933" i="1"/>
  <c r="D933" i="1"/>
  <c r="C934" i="1"/>
  <c r="D934" i="1"/>
  <c r="C935" i="1"/>
  <c r="D935" i="1"/>
  <c r="C936" i="1"/>
  <c r="D936" i="1"/>
  <c r="C937" i="1"/>
  <c r="D937" i="1"/>
  <c r="C938" i="1"/>
  <c r="D938" i="1"/>
  <c r="C939" i="1"/>
  <c r="D939" i="1"/>
  <c r="C940" i="1"/>
  <c r="D940" i="1"/>
  <c r="C941" i="1"/>
  <c r="D941" i="1"/>
  <c r="C942" i="1"/>
  <c r="D942" i="1"/>
  <c r="C943" i="1"/>
  <c r="D943" i="1"/>
  <c r="C944" i="1"/>
  <c r="D944" i="1"/>
  <c r="C945" i="1"/>
  <c r="D945" i="1"/>
  <c r="C946" i="1"/>
  <c r="D946" i="1"/>
  <c r="C947" i="1"/>
  <c r="D947" i="1"/>
  <c r="C948" i="1"/>
  <c r="D948" i="1"/>
  <c r="C949" i="1"/>
  <c r="D949" i="1"/>
  <c r="C950" i="1"/>
  <c r="D950" i="1"/>
  <c r="C951" i="1"/>
  <c r="D951" i="1"/>
  <c r="C952" i="1"/>
  <c r="D952" i="1"/>
  <c r="C953" i="1"/>
  <c r="D953" i="1"/>
  <c r="C954" i="1"/>
  <c r="D954" i="1"/>
  <c r="C955" i="1"/>
  <c r="D955" i="1"/>
  <c r="C956" i="1"/>
  <c r="D956" i="1"/>
  <c r="C957" i="1"/>
  <c r="D957" i="1"/>
  <c r="C958" i="1"/>
  <c r="D958" i="1"/>
  <c r="C959" i="1"/>
  <c r="D959" i="1"/>
  <c r="C960" i="1"/>
  <c r="D960" i="1"/>
  <c r="C961" i="1"/>
  <c r="D961" i="1"/>
  <c r="C962" i="1"/>
  <c r="D962" i="1"/>
  <c r="C963" i="1"/>
  <c r="D963" i="1"/>
  <c r="C964" i="1"/>
  <c r="D964" i="1"/>
  <c r="C965" i="1"/>
  <c r="D965" i="1"/>
  <c r="C966" i="1"/>
  <c r="D966" i="1"/>
  <c r="C967" i="1"/>
  <c r="D967" i="1"/>
  <c r="C968" i="1"/>
  <c r="D968" i="1"/>
  <c r="C969" i="1"/>
  <c r="D969" i="1"/>
  <c r="C970" i="1"/>
  <c r="D970" i="1"/>
  <c r="C971" i="1"/>
  <c r="D971" i="1"/>
  <c r="C972" i="1"/>
  <c r="D972" i="1"/>
  <c r="C973" i="1"/>
  <c r="D973" i="1"/>
  <c r="C974" i="1"/>
  <c r="D974" i="1"/>
  <c r="C975" i="1"/>
  <c r="D975" i="1"/>
  <c r="C976" i="1"/>
  <c r="D976" i="1"/>
  <c r="C977" i="1"/>
  <c r="D977" i="1"/>
  <c r="C978" i="1"/>
  <c r="D978" i="1"/>
  <c r="C979" i="1"/>
  <c r="D979" i="1"/>
  <c r="C980" i="1"/>
  <c r="D980" i="1"/>
  <c r="C981" i="1"/>
  <c r="D981" i="1"/>
  <c r="C982" i="1"/>
  <c r="D982" i="1"/>
  <c r="C983" i="1"/>
  <c r="D983" i="1"/>
  <c r="C984" i="1"/>
  <c r="D984" i="1"/>
  <c r="C985" i="1"/>
  <c r="D985" i="1"/>
  <c r="C986" i="1"/>
  <c r="D986" i="1"/>
  <c r="C987" i="1"/>
  <c r="D987" i="1"/>
  <c r="C988" i="1"/>
  <c r="D988" i="1"/>
  <c r="C989" i="1"/>
  <c r="D989" i="1"/>
  <c r="C990" i="1"/>
  <c r="D990" i="1"/>
  <c r="C991" i="1"/>
  <c r="D991" i="1"/>
  <c r="C992" i="1"/>
  <c r="D992" i="1"/>
  <c r="C993" i="1"/>
  <c r="D993" i="1"/>
  <c r="C994" i="1"/>
  <c r="D994" i="1"/>
  <c r="C995" i="1"/>
  <c r="D995" i="1"/>
  <c r="C996" i="1"/>
  <c r="D996" i="1"/>
  <c r="C997" i="1"/>
  <c r="D997" i="1"/>
  <c r="C998" i="1"/>
  <c r="D998" i="1"/>
  <c r="C999" i="1"/>
  <c r="D999" i="1"/>
  <c r="C1000" i="1"/>
  <c r="D1000" i="1"/>
  <c r="C1001" i="1"/>
  <c r="D1001" i="1"/>
  <c r="C1002" i="1"/>
  <c r="D1002" i="1"/>
  <c r="C1003" i="1"/>
  <c r="D1003" i="1"/>
  <c r="C1004" i="1"/>
  <c r="D1004" i="1"/>
  <c r="C1005" i="1"/>
  <c r="D1005" i="1"/>
  <c r="C1006" i="1"/>
  <c r="D1006" i="1"/>
  <c r="C1007" i="1"/>
  <c r="D1007" i="1"/>
  <c r="C1008" i="1"/>
  <c r="D1008" i="1"/>
  <c r="C1009" i="1"/>
  <c r="D1009" i="1"/>
  <c r="C1010" i="1"/>
  <c r="D1010" i="1"/>
  <c r="C1011" i="1"/>
  <c r="D1011" i="1"/>
  <c r="C1012" i="1"/>
  <c r="D1012" i="1"/>
  <c r="C1013" i="1"/>
  <c r="D1013" i="1"/>
  <c r="C1014" i="1"/>
  <c r="D1014" i="1"/>
  <c r="C1015" i="1"/>
  <c r="D1015" i="1"/>
  <c r="C1016" i="1"/>
  <c r="D1016" i="1"/>
  <c r="C1017" i="1"/>
  <c r="D1017" i="1"/>
  <c r="C1018" i="1"/>
  <c r="D1018" i="1"/>
  <c r="C1019" i="1"/>
  <c r="D1019" i="1"/>
  <c r="C1020" i="1"/>
  <c r="D1020" i="1"/>
  <c r="C1021" i="1"/>
  <c r="D1021" i="1"/>
  <c r="C1022" i="1"/>
  <c r="D1022" i="1"/>
  <c r="C1023" i="1"/>
  <c r="D1023" i="1"/>
  <c r="C1024" i="1"/>
  <c r="D1024" i="1"/>
  <c r="C1025" i="1"/>
  <c r="D1025" i="1"/>
  <c r="C1026" i="1"/>
  <c r="D1026" i="1"/>
  <c r="C1027" i="1"/>
  <c r="D1027" i="1"/>
  <c r="C1028" i="1"/>
  <c r="D1028" i="1"/>
  <c r="C1029" i="1"/>
  <c r="D1029" i="1"/>
  <c r="C1030" i="1"/>
  <c r="D1030" i="1"/>
  <c r="C1031" i="1"/>
  <c r="D1031" i="1"/>
  <c r="C1032" i="1"/>
  <c r="D1032" i="1"/>
  <c r="C1033" i="1"/>
  <c r="D1033" i="1"/>
  <c r="C1034" i="1"/>
  <c r="D1034" i="1"/>
  <c r="C1035" i="1"/>
  <c r="D1035" i="1"/>
  <c r="C1036" i="1"/>
  <c r="D1036" i="1"/>
  <c r="C1037" i="1"/>
  <c r="D1037" i="1"/>
  <c r="C1038" i="1"/>
  <c r="D1038" i="1"/>
  <c r="C1039" i="1"/>
  <c r="D1039" i="1"/>
  <c r="C1040" i="1"/>
  <c r="D1040" i="1"/>
  <c r="C1041" i="1"/>
  <c r="D1041" i="1"/>
  <c r="C1042" i="1"/>
  <c r="D1042" i="1"/>
  <c r="C1043" i="1"/>
  <c r="D1043" i="1"/>
  <c r="C1044" i="1"/>
  <c r="D1044" i="1"/>
  <c r="C1045" i="1"/>
  <c r="D1045" i="1"/>
  <c r="C1046" i="1"/>
  <c r="D1046" i="1"/>
  <c r="C1047" i="1"/>
  <c r="D1047" i="1"/>
  <c r="C1048" i="1"/>
  <c r="D1048" i="1"/>
  <c r="C1049" i="1"/>
  <c r="D1049" i="1"/>
  <c r="C1050" i="1"/>
  <c r="D1050" i="1"/>
  <c r="C1051" i="1"/>
  <c r="D1051" i="1"/>
  <c r="C1052" i="1"/>
  <c r="D1052" i="1"/>
  <c r="C1053" i="1"/>
  <c r="D1053" i="1"/>
  <c r="C1054" i="1"/>
  <c r="D1054" i="1"/>
  <c r="C1055" i="1"/>
  <c r="D1055" i="1"/>
  <c r="C1056" i="1"/>
  <c r="D1056" i="1"/>
  <c r="C1057" i="1"/>
  <c r="D1057" i="1"/>
  <c r="C1058" i="1"/>
  <c r="D1058" i="1"/>
  <c r="C1059" i="1"/>
  <c r="D1059" i="1"/>
  <c r="C1060" i="1"/>
  <c r="D1060" i="1"/>
  <c r="C1061" i="1"/>
  <c r="D1061" i="1"/>
  <c r="C1062" i="1"/>
  <c r="D1062" i="1"/>
  <c r="C1063" i="1"/>
  <c r="D1063" i="1"/>
  <c r="C1064" i="1"/>
  <c r="D1064" i="1"/>
  <c r="C1065" i="1"/>
  <c r="D1065" i="1"/>
  <c r="C1066" i="1"/>
  <c r="D1066" i="1"/>
  <c r="C1067" i="1"/>
  <c r="D1067" i="1"/>
  <c r="C1068" i="1"/>
  <c r="D1068" i="1"/>
  <c r="C1069" i="1"/>
  <c r="D1069" i="1"/>
  <c r="C1070" i="1"/>
  <c r="D1070" i="1"/>
  <c r="C1071" i="1"/>
  <c r="D1071" i="1"/>
  <c r="C1072" i="1"/>
  <c r="D1072" i="1"/>
  <c r="C1073" i="1"/>
  <c r="D1073" i="1"/>
  <c r="C1074" i="1"/>
  <c r="D1074" i="1"/>
  <c r="C1075" i="1"/>
  <c r="D1075" i="1"/>
  <c r="C1076" i="1"/>
  <c r="D1076" i="1"/>
  <c r="C1077" i="1"/>
  <c r="D1077" i="1"/>
  <c r="C1078" i="1"/>
  <c r="D1078" i="1"/>
  <c r="C1079" i="1"/>
  <c r="D1079" i="1"/>
  <c r="C1080" i="1"/>
  <c r="D1080" i="1"/>
  <c r="C1081" i="1"/>
  <c r="D1081" i="1"/>
  <c r="C1082" i="1"/>
  <c r="D1082" i="1"/>
  <c r="C1083" i="1"/>
  <c r="D1083" i="1"/>
  <c r="C1084" i="1"/>
  <c r="D1084" i="1"/>
  <c r="C1085" i="1"/>
  <c r="D1085" i="1"/>
  <c r="C1086" i="1"/>
  <c r="D1086" i="1"/>
  <c r="C1087" i="1"/>
  <c r="D1087" i="1"/>
  <c r="C1088" i="1"/>
  <c r="D1088" i="1"/>
  <c r="C1089" i="1"/>
  <c r="D1089" i="1"/>
  <c r="C1090" i="1"/>
  <c r="D1090" i="1"/>
  <c r="C1091" i="1"/>
  <c r="D1091" i="1"/>
  <c r="C1092" i="1"/>
  <c r="D1092" i="1"/>
  <c r="C1093" i="1"/>
  <c r="D1093" i="1"/>
  <c r="C1094" i="1"/>
  <c r="D1094" i="1"/>
  <c r="C1095" i="1"/>
  <c r="D1095" i="1"/>
  <c r="C1096" i="1"/>
  <c r="D1096" i="1"/>
  <c r="C1097" i="1"/>
  <c r="D1097" i="1"/>
  <c r="C1098" i="1"/>
  <c r="D1098" i="1"/>
  <c r="C1099" i="1"/>
  <c r="D1099" i="1"/>
  <c r="C1100" i="1"/>
  <c r="D1100" i="1"/>
  <c r="C1101" i="1"/>
  <c r="D1101" i="1"/>
  <c r="C1102" i="1"/>
  <c r="D1102" i="1"/>
  <c r="C1103" i="1"/>
  <c r="D1103" i="1"/>
  <c r="C1104" i="1"/>
  <c r="D1104" i="1"/>
  <c r="C1105" i="1"/>
  <c r="D1105" i="1"/>
  <c r="C1106" i="1"/>
  <c r="D1106" i="1"/>
  <c r="C1107" i="1"/>
  <c r="D1107" i="1"/>
  <c r="C1108" i="1"/>
  <c r="D1108" i="1"/>
  <c r="C1109" i="1"/>
  <c r="D1109" i="1"/>
  <c r="C1110" i="1"/>
  <c r="D1110" i="1"/>
  <c r="C1111" i="1"/>
  <c r="D1111" i="1"/>
  <c r="C1112" i="1"/>
  <c r="D1112" i="1"/>
  <c r="C1113" i="1"/>
  <c r="D1113" i="1"/>
  <c r="C1114" i="1"/>
  <c r="D1114" i="1"/>
  <c r="C1115" i="1"/>
  <c r="D1115" i="1"/>
  <c r="C1116" i="1"/>
  <c r="D1116" i="1"/>
  <c r="C1117" i="1"/>
  <c r="D1117" i="1"/>
  <c r="C1118" i="1"/>
  <c r="D1118" i="1"/>
  <c r="C1119" i="1"/>
  <c r="D1119" i="1"/>
  <c r="C1120" i="1"/>
  <c r="D1120" i="1"/>
  <c r="C1121" i="1"/>
  <c r="D1121" i="1"/>
  <c r="C1122" i="1"/>
  <c r="D1122" i="1"/>
  <c r="C1123" i="1"/>
  <c r="D1123" i="1"/>
  <c r="C1124" i="1"/>
  <c r="D1124" i="1"/>
  <c r="C1125" i="1"/>
  <c r="D1125" i="1"/>
  <c r="C1126" i="1"/>
  <c r="D1126" i="1"/>
  <c r="C1127" i="1"/>
  <c r="D1127" i="1"/>
  <c r="C1128" i="1"/>
  <c r="D1128" i="1"/>
  <c r="C1129" i="1"/>
  <c r="D1129" i="1"/>
  <c r="C1130" i="1"/>
  <c r="D1130" i="1"/>
  <c r="C1131" i="1"/>
  <c r="D1131" i="1"/>
  <c r="C1132" i="1"/>
  <c r="D1132" i="1"/>
  <c r="C1133" i="1"/>
  <c r="D1133" i="1"/>
  <c r="C1134" i="1"/>
  <c r="D1134" i="1"/>
  <c r="C1135" i="1"/>
  <c r="D1135" i="1"/>
  <c r="C1136" i="1"/>
  <c r="D1136" i="1"/>
  <c r="C1137" i="1"/>
  <c r="D1137" i="1"/>
  <c r="C1138" i="1"/>
  <c r="D1138" i="1"/>
  <c r="C1139" i="1"/>
  <c r="D1139" i="1"/>
  <c r="C1140" i="1"/>
  <c r="D1140" i="1"/>
  <c r="C1141" i="1"/>
  <c r="D1141" i="1"/>
  <c r="C1142" i="1"/>
  <c r="D1142" i="1"/>
  <c r="C1143" i="1"/>
  <c r="D1143" i="1"/>
  <c r="C1144" i="1"/>
  <c r="D1144" i="1"/>
  <c r="C1145" i="1"/>
  <c r="D1145" i="1"/>
  <c r="C1146" i="1"/>
  <c r="D1146" i="1"/>
  <c r="C1147" i="1"/>
  <c r="D1147" i="1"/>
  <c r="C1148" i="1"/>
  <c r="D1148" i="1"/>
  <c r="C1149" i="1"/>
  <c r="D1149" i="1"/>
  <c r="C1150" i="1"/>
  <c r="D1150" i="1"/>
  <c r="C1151" i="1"/>
  <c r="D1151" i="1"/>
  <c r="C1152" i="1"/>
  <c r="D1152" i="1"/>
  <c r="C1153" i="1"/>
  <c r="D1153" i="1"/>
  <c r="C1154" i="1"/>
  <c r="D1154" i="1"/>
  <c r="C1155" i="1"/>
  <c r="D1155" i="1"/>
  <c r="C1156" i="1"/>
  <c r="D1156" i="1"/>
  <c r="C1157" i="1"/>
  <c r="D1157" i="1"/>
  <c r="C1158" i="1"/>
  <c r="D1158" i="1"/>
  <c r="C1159" i="1"/>
  <c r="D1159" i="1"/>
  <c r="C1160" i="1"/>
  <c r="D1160" i="1"/>
  <c r="C1161" i="1"/>
  <c r="D1161" i="1"/>
  <c r="C1162" i="1"/>
  <c r="D1162" i="1"/>
  <c r="C1163" i="1"/>
  <c r="D1163" i="1"/>
  <c r="C1164" i="1"/>
  <c r="D1164" i="1"/>
  <c r="C1165" i="1"/>
  <c r="D1165" i="1"/>
  <c r="C1166" i="1"/>
  <c r="D1166" i="1"/>
  <c r="C1167" i="1"/>
  <c r="D1167" i="1"/>
  <c r="C1168" i="1"/>
  <c r="D1168" i="1"/>
  <c r="C1169" i="1"/>
  <c r="D1169" i="1"/>
  <c r="C1170" i="1"/>
  <c r="D1170" i="1"/>
  <c r="C1171" i="1"/>
  <c r="D1171" i="1"/>
  <c r="C1172" i="1"/>
  <c r="D1172" i="1"/>
  <c r="C1173" i="1"/>
  <c r="D1173" i="1"/>
  <c r="C1174" i="1"/>
  <c r="D1174" i="1"/>
  <c r="C1175" i="1"/>
  <c r="D1175" i="1"/>
  <c r="C1176" i="1"/>
  <c r="D1176" i="1"/>
  <c r="C1177" i="1"/>
  <c r="D1177" i="1"/>
  <c r="C1178" i="1"/>
  <c r="D1178" i="1"/>
  <c r="C1179" i="1"/>
  <c r="D1179" i="1"/>
  <c r="C1180" i="1"/>
  <c r="D1180" i="1"/>
  <c r="C1181" i="1"/>
  <c r="D1181" i="1"/>
  <c r="C1182" i="1"/>
  <c r="D1182" i="1"/>
  <c r="C1183" i="1"/>
  <c r="D1183" i="1"/>
  <c r="C1184" i="1"/>
  <c r="D1184" i="1"/>
  <c r="C1185" i="1"/>
  <c r="D1185" i="1"/>
  <c r="C1186" i="1"/>
  <c r="D1186" i="1"/>
  <c r="C1187" i="1"/>
  <c r="D1187" i="1"/>
  <c r="C1188" i="1"/>
  <c r="D1188" i="1"/>
  <c r="C1189" i="1"/>
  <c r="D1189" i="1"/>
  <c r="C1190" i="1"/>
  <c r="D1190" i="1"/>
  <c r="C1191" i="1"/>
  <c r="D1191" i="1"/>
  <c r="C1192" i="1"/>
  <c r="D1192" i="1"/>
  <c r="C1193" i="1"/>
  <c r="D1193" i="1"/>
  <c r="C1194" i="1"/>
  <c r="D1194" i="1"/>
  <c r="C1195" i="1"/>
  <c r="D1195" i="1"/>
  <c r="C1196" i="1"/>
  <c r="D1196" i="1"/>
  <c r="C1197" i="1"/>
  <c r="D1197" i="1"/>
  <c r="C1198" i="1"/>
  <c r="D1198" i="1"/>
  <c r="C1199" i="1"/>
  <c r="D1199" i="1"/>
  <c r="C1200" i="1"/>
  <c r="D1200" i="1"/>
  <c r="C1201" i="1"/>
  <c r="D1201" i="1"/>
  <c r="C1202" i="1"/>
  <c r="D1202" i="1"/>
  <c r="C1203" i="1"/>
  <c r="D1203" i="1"/>
  <c r="C1204" i="1"/>
  <c r="D1204" i="1"/>
  <c r="C1205" i="1"/>
  <c r="D1205" i="1"/>
  <c r="C1206" i="1"/>
  <c r="D1206" i="1"/>
  <c r="C1207" i="1"/>
  <c r="D1207" i="1"/>
  <c r="C1208" i="1"/>
  <c r="D1208" i="1"/>
  <c r="C1209" i="1"/>
  <c r="D1209" i="1"/>
  <c r="C1210" i="1"/>
  <c r="D1210" i="1"/>
  <c r="C1211" i="1"/>
  <c r="D1211" i="1"/>
  <c r="C1212" i="1"/>
  <c r="D1212" i="1"/>
  <c r="C1213" i="1"/>
  <c r="D1213" i="1"/>
  <c r="C1214" i="1"/>
  <c r="D1214" i="1"/>
  <c r="C1215" i="1"/>
  <c r="D1215" i="1"/>
  <c r="C1216" i="1"/>
  <c r="D1216" i="1"/>
  <c r="C1217" i="1"/>
  <c r="D1217" i="1"/>
  <c r="C1218" i="1"/>
  <c r="D1218" i="1"/>
  <c r="C1219" i="1"/>
  <c r="D1219" i="1"/>
  <c r="C1220" i="1"/>
  <c r="D1220" i="1"/>
  <c r="C1221" i="1"/>
  <c r="D1221" i="1"/>
  <c r="C1222" i="1"/>
  <c r="D1222" i="1"/>
  <c r="C1223" i="1"/>
  <c r="D1223" i="1"/>
  <c r="C1224" i="1"/>
  <c r="D1224" i="1"/>
  <c r="C1225" i="1"/>
  <c r="D1225" i="1"/>
  <c r="C1226" i="1"/>
  <c r="D1226" i="1"/>
  <c r="C1227" i="1"/>
  <c r="D1227" i="1"/>
  <c r="C1228" i="1"/>
  <c r="D1228" i="1"/>
  <c r="C1229" i="1"/>
  <c r="D1229" i="1"/>
  <c r="C1230" i="1"/>
  <c r="D1230" i="1"/>
  <c r="C1231" i="1"/>
  <c r="D1231" i="1"/>
  <c r="C1232" i="1"/>
  <c r="D1232" i="1"/>
  <c r="C1233" i="1"/>
  <c r="D1233" i="1"/>
  <c r="C1234" i="1"/>
  <c r="D1234" i="1"/>
  <c r="C1235" i="1"/>
  <c r="D1235" i="1"/>
  <c r="C1236" i="1"/>
  <c r="D1236" i="1"/>
  <c r="C1237" i="1"/>
  <c r="D1237" i="1"/>
  <c r="C1238" i="1"/>
  <c r="D1238" i="1"/>
  <c r="C1239" i="1"/>
  <c r="D1239" i="1"/>
  <c r="C1240" i="1"/>
  <c r="D1240" i="1"/>
  <c r="C1241" i="1"/>
  <c r="D1241" i="1"/>
  <c r="C1242" i="1"/>
  <c r="D1242" i="1"/>
  <c r="C1243" i="1"/>
  <c r="D1243" i="1"/>
  <c r="C1244" i="1"/>
  <c r="D1244" i="1"/>
  <c r="C1245" i="1"/>
  <c r="D1245" i="1"/>
  <c r="C1246" i="1"/>
  <c r="D1246" i="1"/>
  <c r="C1247" i="1"/>
  <c r="D1247" i="1"/>
  <c r="C1248" i="1"/>
  <c r="D1248" i="1"/>
  <c r="C1249" i="1"/>
  <c r="D1249" i="1"/>
  <c r="C1250" i="1"/>
  <c r="D1250" i="1"/>
  <c r="C1251" i="1"/>
  <c r="D1251" i="1"/>
  <c r="C1252" i="1"/>
  <c r="D1252" i="1"/>
  <c r="C1253" i="1"/>
  <c r="D1253" i="1"/>
  <c r="C1254" i="1"/>
  <c r="D1254" i="1"/>
  <c r="C1255" i="1"/>
  <c r="D1255" i="1"/>
  <c r="C1256" i="1"/>
  <c r="D1256" i="1"/>
  <c r="C1257" i="1"/>
  <c r="D1257" i="1"/>
  <c r="C1258" i="1"/>
  <c r="D1258" i="1"/>
  <c r="C1259" i="1"/>
  <c r="D1259" i="1"/>
  <c r="C1260" i="1"/>
  <c r="D1260" i="1"/>
  <c r="C1261" i="1"/>
  <c r="D1261" i="1"/>
  <c r="C1262" i="1"/>
  <c r="D1262" i="1"/>
  <c r="C1263" i="1"/>
  <c r="D1263" i="1"/>
  <c r="C1264" i="1"/>
  <c r="D1264" i="1"/>
  <c r="C1265" i="1"/>
  <c r="D1265" i="1"/>
  <c r="C1266" i="1"/>
  <c r="D1266" i="1"/>
  <c r="C1267" i="1"/>
  <c r="D1267" i="1"/>
  <c r="C1268" i="1"/>
  <c r="D1268" i="1"/>
  <c r="C1269" i="1"/>
  <c r="D1269" i="1"/>
  <c r="C1270" i="1"/>
  <c r="D1270" i="1"/>
  <c r="C1271" i="1"/>
  <c r="D1271" i="1"/>
  <c r="C1272" i="1"/>
  <c r="D1272" i="1"/>
  <c r="C1273" i="1"/>
  <c r="D1273" i="1"/>
  <c r="C1274" i="1"/>
  <c r="D1274" i="1"/>
  <c r="C1275" i="1"/>
  <c r="D1275" i="1"/>
  <c r="C1276" i="1"/>
  <c r="D1276" i="1"/>
  <c r="C1277" i="1"/>
  <c r="D1277" i="1"/>
  <c r="C1278" i="1"/>
  <c r="D1278" i="1"/>
  <c r="C1279" i="1"/>
  <c r="D1279" i="1"/>
  <c r="C1280" i="1"/>
  <c r="D1280" i="1"/>
  <c r="C1281" i="1"/>
  <c r="D1281" i="1"/>
  <c r="C1282" i="1"/>
  <c r="D1282" i="1"/>
  <c r="C1283" i="1"/>
  <c r="D1283" i="1"/>
  <c r="C1284" i="1"/>
  <c r="D1284" i="1"/>
  <c r="C1285" i="1"/>
  <c r="D1285" i="1"/>
  <c r="C1286" i="1"/>
  <c r="D1286" i="1"/>
  <c r="C1287" i="1"/>
  <c r="D1287" i="1"/>
  <c r="C1288" i="1"/>
  <c r="D1288" i="1"/>
  <c r="C1289" i="1"/>
  <c r="D1289" i="1"/>
  <c r="C1290" i="1"/>
  <c r="D1290" i="1"/>
  <c r="C1291" i="1"/>
  <c r="D1291" i="1"/>
  <c r="C1292" i="1"/>
  <c r="D1292" i="1"/>
  <c r="C1293" i="1"/>
  <c r="D1293" i="1"/>
  <c r="C1294" i="1"/>
  <c r="D1294" i="1"/>
  <c r="C1295" i="1"/>
  <c r="D1295" i="1"/>
  <c r="C1296" i="1"/>
  <c r="D1296" i="1"/>
  <c r="C1297" i="1"/>
  <c r="D1297" i="1"/>
  <c r="C1298" i="1"/>
  <c r="D1298" i="1"/>
  <c r="C1299" i="1"/>
  <c r="D1299" i="1"/>
  <c r="C1300" i="1"/>
  <c r="D1300" i="1"/>
  <c r="C1301" i="1"/>
  <c r="D1301" i="1"/>
  <c r="C1302" i="1"/>
  <c r="D1302" i="1"/>
  <c r="C1303" i="1"/>
  <c r="D1303" i="1"/>
  <c r="C1304" i="1"/>
  <c r="D1304" i="1"/>
  <c r="C1305" i="1"/>
  <c r="D1305" i="1"/>
  <c r="C1306" i="1"/>
  <c r="D1306" i="1"/>
  <c r="C1307" i="1"/>
  <c r="D1307" i="1"/>
  <c r="C1308" i="1"/>
  <c r="D1308" i="1"/>
  <c r="C1309" i="1"/>
  <c r="D1309" i="1"/>
  <c r="C1310" i="1"/>
  <c r="D1310" i="1"/>
  <c r="C1311" i="1"/>
  <c r="D1311" i="1"/>
  <c r="C1312" i="1"/>
  <c r="D1312" i="1"/>
  <c r="C1313" i="1"/>
  <c r="D1313" i="1"/>
  <c r="C1314" i="1"/>
  <c r="D1314" i="1"/>
  <c r="C1315" i="1"/>
  <c r="D1315" i="1"/>
  <c r="C1316" i="1"/>
  <c r="D1316" i="1"/>
  <c r="C1317" i="1"/>
  <c r="D1317" i="1"/>
  <c r="C1318" i="1"/>
  <c r="D1318" i="1"/>
  <c r="C1319" i="1"/>
  <c r="D1319" i="1"/>
  <c r="C1320" i="1"/>
  <c r="D1320" i="1"/>
  <c r="C1321" i="1"/>
  <c r="D1321" i="1"/>
  <c r="C1322" i="1"/>
  <c r="D1322" i="1"/>
  <c r="C1323" i="1"/>
  <c r="D1323" i="1"/>
  <c r="C1324" i="1"/>
  <c r="D1324" i="1"/>
  <c r="C1325" i="1"/>
  <c r="D1325" i="1"/>
  <c r="C1326" i="1"/>
  <c r="D1326" i="1"/>
  <c r="C1327" i="1"/>
  <c r="D1327" i="1"/>
  <c r="C1328" i="1"/>
  <c r="D1328" i="1"/>
  <c r="C1329" i="1"/>
  <c r="D1329" i="1"/>
  <c r="C1330" i="1"/>
  <c r="D1330" i="1"/>
  <c r="C1331" i="1"/>
  <c r="D1331" i="1"/>
  <c r="C1332" i="1"/>
  <c r="D1332" i="1"/>
  <c r="C1333" i="1"/>
  <c r="D1333" i="1"/>
  <c r="C1334" i="1"/>
  <c r="D1334" i="1"/>
  <c r="C1335" i="1"/>
  <c r="D1335" i="1"/>
  <c r="C1336" i="1"/>
  <c r="D1336" i="1"/>
  <c r="C1337" i="1"/>
  <c r="D1337" i="1"/>
  <c r="C1338" i="1"/>
  <c r="D1338" i="1"/>
  <c r="C1339" i="1"/>
  <c r="D1339" i="1"/>
  <c r="C1340" i="1"/>
  <c r="D1340" i="1"/>
  <c r="C1341" i="1"/>
  <c r="D1341" i="1"/>
  <c r="C1342" i="1"/>
  <c r="D1342" i="1"/>
  <c r="C1343" i="1"/>
  <c r="D1343" i="1"/>
  <c r="C1344" i="1"/>
  <c r="D1344" i="1"/>
  <c r="C1345" i="1"/>
  <c r="D1345" i="1"/>
  <c r="C1346" i="1"/>
  <c r="D1346" i="1"/>
  <c r="C1347" i="1"/>
  <c r="D1347" i="1"/>
  <c r="C1348" i="1"/>
  <c r="D1348" i="1"/>
  <c r="C1349" i="1"/>
  <c r="D1349" i="1"/>
  <c r="C1350" i="1"/>
  <c r="D1350" i="1"/>
  <c r="C1351" i="1"/>
  <c r="D1351" i="1"/>
  <c r="C1352" i="1"/>
  <c r="D1352" i="1"/>
  <c r="C1353" i="1"/>
  <c r="D1353" i="1"/>
  <c r="C1354" i="1"/>
  <c r="D1354" i="1"/>
  <c r="C1355" i="1"/>
  <c r="D1355" i="1"/>
  <c r="C1356" i="1"/>
  <c r="D1356" i="1"/>
  <c r="C1357" i="1"/>
  <c r="D1357" i="1"/>
  <c r="C1358" i="1"/>
  <c r="D1358" i="1"/>
  <c r="C1359" i="1"/>
  <c r="D1359" i="1"/>
  <c r="C1360" i="1"/>
  <c r="D1360" i="1"/>
  <c r="C1361" i="1"/>
  <c r="D1361" i="1"/>
  <c r="C1362" i="1"/>
  <c r="D1362" i="1"/>
  <c r="C1363" i="1"/>
  <c r="D1363" i="1"/>
  <c r="C1364" i="1"/>
  <c r="D1364" i="1"/>
  <c r="C1365" i="1"/>
  <c r="D1365" i="1"/>
  <c r="C1366" i="1"/>
  <c r="D1366" i="1"/>
  <c r="C1367" i="1"/>
  <c r="D1367" i="1"/>
  <c r="C1368" i="1"/>
  <c r="D1368" i="1"/>
  <c r="C1369" i="1"/>
  <c r="D1369" i="1"/>
  <c r="C1370" i="1"/>
  <c r="D1370" i="1"/>
  <c r="C1371" i="1"/>
  <c r="D1371" i="1"/>
  <c r="C1372" i="1"/>
  <c r="D1372" i="1"/>
  <c r="C1373" i="1"/>
  <c r="D1373" i="1"/>
  <c r="C1374" i="1"/>
  <c r="D1374" i="1"/>
  <c r="C1375" i="1"/>
  <c r="D1375" i="1"/>
  <c r="C1376" i="1"/>
  <c r="D1376" i="1"/>
  <c r="C1377" i="1"/>
  <c r="D1377" i="1"/>
  <c r="C1378" i="1"/>
  <c r="D1378" i="1"/>
  <c r="C1379" i="1"/>
  <c r="D1379" i="1"/>
  <c r="C1380" i="1"/>
  <c r="D1380" i="1"/>
  <c r="C1381" i="1"/>
  <c r="D1381" i="1"/>
  <c r="C1382" i="1"/>
  <c r="D1382" i="1"/>
  <c r="C1383" i="1"/>
  <c r="D1383" i="1"/>
  <c r="C1384" i="1"/>
  <c r="D1384" i="1"/>
  <c r="C1385" i="1"/>
  <c r="D1385" i="1"/>
  <c r="C1386" i="1"/>
  <c r="D1386" i="1"/>
  <c r="C1387" i="1"/>
  <c r="D1387" i="1"/>
  <c r="C1388" i="1"/>
  <c r="D1388" i="1"/>
  <c r="C1389" i="1"/>
  <c r="D1389" i="1"/>
  <c r="C1390" i="1"/>
  <c r="D1390" i="1"/>
  <c r="C1391" i="1"/>
  <c r="D1391" i="1"/>
  <c r="C1392" i="1"/>
  <c r="D1392" i="1"/>
  <c r="C1393" i="1"/>
  <c r="D1393" i="1"/>
  <c r="C1394" i="1"/>
  <c r="D1394" i="1"/>
  <c r="C1395" i="1"/>
  <c r="D1395" i="1"/>
  <c r="C1396" i="1"/>
  <c r="D1396" i="1"/>
  <c r="C1397" i="1"/>
  <c r="D1397" i="1"/>
  <c r="C1398" i="1"/>
  <c r="D1398" i="1"/>
  <c r="C1399" i="1"/>
  <c r="D1399" i="1"/>
  <c r="C1400" i="1"/>
  <c r="D1400" i="1"/>
  <c r="C1401" i="1"/>
  <c r="D1401" i="1"/>
  <c r="C1402" i="1"/>
  <c r="D1402" i="1"/>
  <c r="C1403" i="1"/>
  <c r="D1403" i="1"/>
  <c r="C1404" i="1"/>
  <c r="D1404" i="1"/>
  <c r="C1405" i="1"/>
  <c r="D1405" i="1"/>
  <c r="C1406" i="1"/>
  <c r="D1406" i="1"/>
  <c r="C1407" i="1"/>
  <c r="D1407" i="1"/>
  <c r="C1408" i="1"/>
  <c r="D1408" i="1"/>
  <c r="C1409" i="1"/>
  <c r="D1409" i="1"/>
  <c r="C1410" i="1"/>
  <c r="D1410" i="1"/>
  <c r="C1411" i="1"/>
  <c r="D1411" i="1"/>
  <c r="C1412" i="1"/>
  <c r="D1412" i="1"/>
  <c r="C1413" i="1"/>
  <c r="D1413" i="1"/>
  <c r="C1414" i="1"/>
  <c r="D1414" i="1"/>
  <c r="C1415" i="1"/>
  <c r="D1415" i="1"/>
  <c r="C1416" i="1"/>
  <c r="D1416" i="1"/>
  <c r="C1417" i="1"/>
  <c r="D1417" i="1"/>
  <c r="C1418" i="1"/>
  <c r="D1418" i="1"/>
  <c r="C1419" i="1"/>
  <c r="D1419" i="1"/>
  <c r="C1420" i="1"/>
  <c r="D1420" i="1"/>
  <c r="C1421" i="1"/>
  <c r="D1421" i="1"/>
  <c r="C1422" i="1"/>
  <c r="D1422" i="1"/>
  <c r="C1423" i="1"/>
  <c r="D1423" i="1"/>
  <c r="C1424" i="1"/>
  <c r="D1424" i="1"/>
  <c r="C1425" i="1"/>
  <c r="D1425" i="1"/>
  <c r="C1426" i="1"/>
  <c r="D1426" i="1"/>
  <c r="C1427" i="1"/>
  <c r="D1427" i="1"/>
  <c r="C1428" i="1"/>
  <c r="D1428" i="1"/>
  <c r="C1429" i="1"/>
  <c r="D1429" i="1"/>
  <c r="C1430" i="1"/>
  <c r="D1430" i="1"/>
  <c r="C1431" i="1"/>
  <c r="D1431" i="1"/>
  <c r="C1432" i="1"/>
  <c r="D1432" i="1"/>
  <c r="C1433" i="1"/>
  <c r="D1433" i="1"/>
  <c r="C1434" i="1"/>
  <c r="D1434" i="1"/>
  <c r="C1435" i="1"/>
  <c r="D1435" i="1"/>
  <c r="C1436" i="1"/>
  <c r="D1436" i="1"/>
  <c r="C1437" i="1"/>
  <c r="D1437" i="1"/>
  <c r="C1438" i="1"/>
  <c r="D1438" i="1"/>
  <c r="C1439" i="1"/>
  <c r="D1439" i="1"/>
  <c r="C1440" i="1"/>
  <c r="D1440" i="1"/>
  <c r="C1441" i="1"/>
  <c r="D1441" i="1"/>
  <c r="C1442" i="1"/>
  <c r="D1442" i="1"/>
  <c r="C1443" i="1"/>
  <c r="D1443" i="1"/>
  <c r="C1444" i="1"/>
  <c r="D1444" i="1"/>
  <c r="C1445" i="1"/>
  <c r="D1445" i="1"/>
  <c r="C1446" i="1"/>
  <c r="D1446" i="1"/>
  <c r="C1447" i="1"/>
  <c r="D1447" i="1"/>
  <c r="C1448" i="1"/>
  <c r="D1448" i="1"/>
  <c r="C1449" i="1"/>
  <c r="D1449" i="1"/>
  <c r="C1450" i="1"/>
  <c r="D1450" i="1"/>
  <c r="C1451" i="1"/>
  <c r="D1451" i="1"/>
  <c r="C1452" i="1"/>
  <c r="D1452" i="1"/>
  <c r="C1453" i="1"/>
  <c r="D1453" i="1"/>
  <c r="C1454" i="1"/>
  <c r="D1454" i="1"/>
  <c r="C1455" i="1"/>
  <c r="D1455" i="1"/>
  <c r="C1456" i="1"/>
  <c r="D1456" i="1"/>
  <c r="C1457" i="1"/>
  <c r="D1457" i="1"/>
  <c r="C1458" i="1"/>
  <c r="D1458" i="1"/>
  <c r="C1459" i="1"/>
  <c r="D1459" i="1"/>
  <c r="C1460" i="1"/>
  <c r="D1460" i="1"/>
  <c r="C1461" i="1"/>
  <c r="D1461" i="1"/>
  <c r="C1462" i="1"/>
  <c r="D1462" i="1"/>
  <c r="C1463" i="1"/>
  <c r="D1463" i="1"/>
  <c r="C1464" i="1"/>
  <c r="D1464" i="1"/>
  <c r="C1465" i="1"/>
  <c r="D1465" i="1"/>
  <c r="C1466" i="1"/>
  <c r="D1466" i="1"/>
  <c r="C1467" i="1"/>
  <c r="D1467" i="1"/>
  <c r="C1468" i="1"/>
  <c r="D1468" i="1"/>
  <c r="C1469" i="1"/>
  <c r="D1469" i="1"/>
  <c r="C1470" i="1"/>
  <c r="D1470" i="1"/>
  <c r="C1471" i="1"/>
  <c r="D1471" i="1"/>
  <c r="C1472" i="1"/>
  <c r="D1472" i="1"/>
  <c r="C1473" i="1"/>
  <c r="D1473" i="1"/>
  <c r="C1474" i="1"/>
  <c r="D1474" i="1"/>
  <c r="C1475" i="1"/>
  <c r="D1475" i="1"/>
  <c r="C1476" i="1"/>
  <c r="D1476" i="1"/>
  <c r="C1477" i="1"/>
  <c r="D1477" i="1"/>
  <c r="C1478" i="1"/>
  <c r="D1478" i="1"/>
  <c r="C1479" i="1"/>
  <c r="D1479" i="1"/>
  <c r="C1480" i="1"/>
  <c r="D1480" i="1"/>
  <c r="C1481" i="1"/>
  <c r="D1481" i="1"/>
  <c r="C1482" i="1"/>
  <c r="D1482" i="1"/>
  <c r="C1483" i="1"/>
  <c r="D1483" i="1"/>
  <c r="C1484" i="1"/>
  <c r="D1484" i="1"/>
  <c r="C1485" i="1"/>
  <c r="D1485" i="1"/>
  <c r="C1486" i="1"/>
  <c r="D1486" i="1"/>
  <c r="C1487" i="1"/>
  <c r="D1487" i="1"/>
  <c r="C1488" i="1"/>
  <c r="D1488" i="1"/>
  <c r="C1489" i="1"/>
  <c r="D1489" i="1"/>
  <c r="C1490" i="1"/>
  <c r="D1490" i="1"/>
  <c r="C1491" i="1"/>
  <c r="D1491" i="1"/>
  <c r="C1492" i="1"/>
  <c r="D1492" i="1"/>
  <c r="C1493" i="1"/>
  <c r="D1493" i="1"/>
  <c r="C1494" i="1"/>
  <c r="D1494" i="1"/>
  <c r="C1495" i="1"/>
  <c r="D1495" i="1"/>
  <c r="C1496" i="1"/>
  <c r="D1496" i="1"/>
  <c r="C1497" i="1"/>
  <c r="D1497" i="1"/>
  <c r="C1498" i="1"/>
  <c r="D1498" i="1"/>
  <c r="C1499" i="1"/>
  <c r="D1499" i="1"/>
  <c r="C1500" i="1"/>
  <c r="D1500" i="1"/>
  <c r="C1501" i="1"/>
  <c r="D1501" i="1"/>
  <c r="C1502" i="1"/>
  <c r="D1502" i="1"/>
  <c r="C1503" i="1"/>
  <c r="D1503" i="1"/>
  <c r="C1504" i="1"/>
  <c r="D1504" i="1"/>
  <c r="C1505" i="1"/>
  <c r="D1505" i="1"/>
  <c r="C1506" i="1"/>
  <c r="D1506" i="1"/>
  <c r="C1507" i="1"/>
  <c r="D1507" i="1"/>
  <c r="C1508" i="1"/>
  <c r="D1508" i="1"/>
  <c r="C1509" i="1"/>
  <c r="D1509" i="1"/>
  <c r="C1510" i="1"/>
  <c r="D1510" i="1"/>
  <c r="C1511" i="1"/>
  <c r="D1511" i="1"/>
  <c r="C1512" i="1"/>
  <c r="D1512" i="1"/>
  <c r="C1513" i="1"/>
  <c r="D1513" i="1"/>
  <c r="C1514" i="1"/>
  <c r="D1514" i="1"/>
  <c r="C1515" i="1"/>
  <c r="D1515" i="1"/>
  <c r="C1516" i="1"/>
  <c r="D1516" i="1"/>
  <c r="C1517" i="1"/>
  <c r="D1517" i="1"/>
  <c r="C1518" i="1"/>
  <c r="D1518" i="1"/>
  <c r="C1519" i="1"/>
  <c r="D1519" i="1"/>
  <c r="C1520" i="1"/>
  <c r="D1520" i="1"/>
  <c r="C1521" i="1"/>
  <c r="D1521" i="1"/>
  <c r="C1522" i="1"/>
  <c r="D1522" i="1"/>
  <c r="C1523" i="1"/>
  <c r="D1523" i="1"/>
  <c r="C1524" i="1"/>
  <c r="D1524" i="1"/>
  <c r="C1525" i="1"/>
  <c r="D1525" i="1"/>
  <c r="C1526" i="1"/>
  <c r="D1526" i="1"/>
  <c r="C1527" i="1"/>
  <c r="D1527" i="1"/>
  <c r="C1528" i="1"/>
  <c r="D1528" i="1"/>
  <c r="C1529" i="1"/>
  <c r="D1529" i="1"/>
  <c r="C1530" i="1"/>
  <c r="D1530" i="1"/>
  <c r="C1531" i="1"/>
  <c r="D1531" i="1"/>
  <c r="C1532" i="1"/>
  <c r="D1532" i="1"/>
  <c r="C1533" i="1"/>
  <c r="D1533" i="1"/>
  <c r="C1534" i="1"/>
  <c r="D1534" i="1"/>
  <c r="C1535" i="1"/>
  <c r="D1535" i="1"/>
  <c r="C1536" i="1"/>
  <c r="D1536" i="1"/>
  <c r="C1537" i="1"/>
  <c r="D1537" i="1"/>
  <c r="C1538" i="1"/>
  <c r="D1538" i="1"/>
  <c r="C1539" i="1"/>
  <c r="D1539" i="1"/>
  <c r="C1540" i="1"/>
  <c r="D1540" i="1"/>
  <c r="C1541" i="1"/>
  <c r="D1541" i="1"/>
  <c r="C1542" i="1"/>
  <c r="D1542" i="1"/>
  <c r="C1543" i="1"/>
  <c r="D1543" i="1"/>
  <c r="C1544" i="1"/>
  <c r="D1544" i="1"/>
  <c r="C1545" i="1"/>
  <c r="D1545" i="1"/>
  <c r="C1546" i="1"/>
  <c r="D1546" i="1"/>
  <c r="C1547" i="1"/>
  <c r="D1547" i="1"/>
  <c r="C1548" i="1"/>
  <c r="D1548" i="1"/>
  <c r="C1549" i="1"/>
  <c r="D1549" i="1"/>
  <c r="C1550" i="1"/>
  <c r="D1550" i="1"/>
  <c r="C1551" i="1"/>
  <c r="D1551" i="1"/>
  <c r="C1552" i="1"/>
  <c r="D1552" i="1"/>
  <c r="C1553" i="1"/>
  <c r="D1553" i="1"/>
  <c r="C1554" i="1"/>
  <c r="D1554" i="1"/>
  <c r="C1555" i="1"/>
  <c r="D1555" i="1"/>
  <c r="C1556" i="1"/>
  <c r="D1556" i="1"/>
  <c r="C1557" i="1"/>
  <c r="D1557" i="1"/>
  <c r="C1558" i="1"/>
  <c r="D1558" i="1"/>
  <c r="C1559" i="1"/>
  <c r="D1559" i="1"/>
  <c r="C1560" i="1"/>
  <c r="D1560" i="1"/>
  <c r="C1561" i="1"/>
  <c r="D1561" i="1"/>
  <c r="C1562" i="1"/>
  <c r="D1562" i="1"/>
  <c r="C1563" i="1"/>
  <c r="D1563" i="1"/>
  <c r="C1564" i="1"/>
  <c r="D1564" i="1"/>
  <c r="C1565" i="1"/>
  <c r="D1565" i="1"/>
  <c r="C1566" i="1"/>
  <c r="D1566" i="1"/>
  <c r="C1567" i="1"/>
  <c r="D1567" i="1"/>
  <c r="C1568" i="1"/>
  <c r="D1568" i="1"/>
  <c r="C1569" i="1"/>
  <c r="D1569" i="1"/>
  <c r="C1570" i="1"/>
  <c r="D1570" i="1"/>
  <c r="C1571" i="1"/>
  <c r="D1571" i="1"/>
  <c r="C1572" i="1"/>
  <c r="D1572" i="1"/>
  <c r="C1573" i="1"/>
  <c r="D1573" i="1"/>
  <c r="C1574" i="1"/>
  <c r="D1574" i="1"/>
  <c r="C1575" i="1"/>
  <c r="D1575" i="1"/>
  <c r="C1576" i="1"/>
  <c r="D1576" i="1"/>
  <c r="C1577" i="1"/>
  <c r="D1577" i="1"/>
  <c r="C1578" i="1"/>
  <c r="D1578" i="1"/>
  <c r="C1579" i="1"/>
  <c r="D1579" i="1"/>
  <c r="C1580" i="1"/>
  <c r="D1580" i="1"/>
  <c r="C1581" i="1"/>
  <c r="D1581" i="1"/>
  <c r="C1582" i="1"/>
  <c r="D1582" i="1"/>
  <c r="C1583" i="1"/>
  <c r="D1583" i="1"/>
  <c r="C1584" i="1"/>
  <c r="D1584" i="1"/>
  <c r="C1585" i="1"/>
  <c r="D1585" i="1"/>
  <c r="C1586" i="1"/>
  <c r="D1586" i="1"/>
  <c r="C1587" i="1"/>
  <c r="D1587" i="1"/>
  <c r="C1588" i="1"/>
  <c r="D1588" i="1"/>
  <c r="C1589" i="1"/>
  <c r="D1589" i="1"/>
  <c r="C1590" i="1"/>
  <c r="D1590" i="1"/>
  <c r="C1591" i="1"/>
  <c r="D1591" i="1"/>
  <c r="C1592" i="1"/>
  <c r="D1592" i="1"/>
  <c r="C1593" i="1"/>
  <c r="D1593" i="1"/>
  <c r="C1594" i="1"/>
  <c r="D1594" i="1"/>
  <c r="C1595" i="1"/>
  <c r="D1595" i="1"/>
  <c r="C1596" i="1"/>
  <c r="D1596" i="1"/>
  <c r="C1597" i="1"/>
  <c r="D1597" i="1"/>
  <c r="C1598" i="1"/>
  <c r="D1598" i="1"/>
  <c r="C1599" i="1"/>
  <c r="D1599" i="1"/>
  <c r="C1600" i="1"/>
  <c r="D1600" i="1"/>
  <c r="C1601" i="1"/>
  <c r="D1601" i="1"/>
  <c r="C1602" i="1"/>
  <c r="D1602" i="1"/>
  <c r="C1603" i="1"/>
  <c r="D1603" i="1"/>
  <c r="C1604" i="1"/>
  <c r="D1604" i="1"/>
  <c r="C1605" i="1"/>
  <c r="D1605" i="1"/>
  <c r="C1606" i="1"/>
  <c r="D1606" i="1"/>
  <c r="C1607" i="1"/>
  <c r="D1607" i="1"/>
  <c r="C1608" i="1"/>
  <c r="D1608" i="1"/>
  <c r="C1609" i="1"/>
  <c r="D1609" i="1"/>
  <c r="C1610" i="1"/>
  <c r="D1610" i="1"/>
  <c r="C1611" i="1"/>
  <c r="D1611" i="1"/>
  <c r="C1612" i="1"/>
  <c r="D1612" i="1"/>
  <c r="C1613" i="1"/>
  <c r="D1613" i="1"/>
  <c r="C1614" i="1"/>
  <c r="D1614" i="1"/>
  <c r="C1615" i="1"/>
  <c r="D1615" i="1"/>
  <c r="C1616" i="1"/>
  <c r="D1616" i="1"/>
  <c r="C1617" i="1"/>
  <c r="D1617" i="1"/>
  <c r="C1618" i="1"/>
  <c r="D1618" i="1"/>
  <c r="C1619" i="1"/>
  <c r="D1619" i="1"/>
  <c r="C1620" i="1"/>
  <c r="D1620" i="1"/>
  <c r="C1621" i="1"/>
  <c r="D1621" i="1"/>
  <c r="C1622" i="1"/>
  <c r="D1622" i="1"/>
  <c r="C1623" i="1"/>
  <c r="D1623" i="1"/>
  <c r="C1624" i="1"/>
  <c r="D1624" i="1"/>
  <c r="C1625" i="1"/>
  <c r="D1625" i="1"/>
  <c r="C1626" i="1"/>
  <c r="D1626" i="1"/>
  <c r="C1627" i="1"/>
  <c r="D1627" i="1"/>
  <c r="C1628" i="1"/>
  <c r="D1628" i="1"/>
  <c r="C1629" i="1"/>
  <c r="D1629" i="1"/>
  <c r="C1630" i="1"/>
  <c r="D1630" i="1"/>
  <c r="C1631" i="1"/>
  <c r="D1631" i="1"/>
  <c r="C1632" i="1"/>
  <c r="D1632" i="1"/>
  <c r="C1633" i="1"/>
  <c r="D1633" i="1"/>
  <c r="C1634" i="1"/>
  <c r="D1634" i="1"/>
  <c r="C1635" i="1"/>
  <c r="D1635" i="1"/>
  <c r="C1636" i="1"/>
  <c r="D1636" i="1"/>
  <c r="C1637" i="1"/>
  <c r="D1637" i="1"/>
  <c r="C1638" i="1"/>
  <c r="D1638" i="1"/>
  <c r="C1639" i="1"/>
  <c r="D1639" i="1"/>
  <c r="C1640" i="1"/>
  <c r="D1640" i="1"/>
  <c r="C1641" i="1"/>
  <c r="D1641" i="1"/>
  <c r="C1642" i="1"/>
  <c r="D1642" i="1"/>
  <c r="C1643" i="1"/>
  <c r="D1643" i="1"/>
  <c r="C1644" i="1"/>
  <c r="D1644" i="1"/>
  <c r="C1645" i="1"/>
  <c r="D1645" i="1"/>
  <c r="C1646" i="1"/>
  <c r="D1646" i="1"/>
  <c r="C1647" i="1"/>
  <c r="D1647" i="1"/>
  <c r="C1648" i="1"/>
  <c r="D1648" i="1"/>
  <c r="C1649" i="1"/>
  <c r="D1649" i="1"/>
  <c r="C1650" i="1"/>
  <c r="D1650" i="1"/>
  <c r="C1651" i="1"/>
  <c r="D1651" i="1"/>
  <c r="C1652" i="1"/>
  <c r="D1652" i="1"/>
  <c r="C1653" i="1"/>
  <c r="D1653" i="1"/>
  <c r="C1654" i="1"/>
  <c r="D1654" i="1"/>
  <c r="C1655" i="1"/>
  <c r="D1655" i="1"/>
  <c r="C1656" i="1"/>
  <c r="D1656" i="1"/>
  <c r="C1657" i="1"/>
  <c r="D1657" i="1"/>
  <c r="C1658" i="1"/>
  <c r="D1658" i="1"/>
  <c r="C1659" i="1"/>
  <c r="D1659" i="1"/>
  <c r="C1660" i="1"/>
  <c r="D1660" i="1"/>
  <c r="C1661" i="1"/>
  <c r="D1661" i="1"/>
  <c r="C1662" i="1"/>
  <c r="D1662" i="1"/>
  <c r="C1663" i="1"/>
  <c r="D1663" i="1"/>
  <c r="C1664" i="1"/>
  <c r="D1664" i="1"/>
  <c r="C1665" i="1"/>
  <c r="D1665" i="1"/>
  <c r="C1666" i="1"/>
  <c r="D1666" i="1"/>
  <c r="C1667" i="1"/>
  <c r="D1667" i="1"/>
  <c r="C1668" i="1"/>
  <c r="D1668" i="1"/>
  <c r="C1669" i="1"/>
  <c r="D1669" i="1"/>
  <c r="C1670" i="1"/>
  <c r="D1670" i="1"/>
  <c r="C1671" i="1"/>
  <c r="D1671" i="1"/>
  <c r="C1672" i="1"/>
  <c r="D1672" i="1"/>
  <c r="C1673" i="1"/>
  <c r="D1673" i="1"/>
  <c r="C1674" i="1"/>
  <c r="D1674" i="1"/>
  <c r="C1675" i="1"/>
  <c r="D1675" i="1"/>
  <c r="C1676" i="1"/>
  <c r="D1676" i="1"/>
  <c r="C1677" i="1"/>
  <c r="D1677" i="1"/>
  <c r="C1678" i="1"/>
  <c r="D1678" i="1"/>
  <c r="C1679" i="1"/>
  <c r="D1679" i="1"/>
  <c r="C1680" i="1"/>
  <c r="D1680" i="1"/>
  <c r="C1681" i="1"/>
  <c r="D1681" i="1"/>
  <c r="C1682" i="1"/>
  <c r="D1682" i="1"/>
  <c r="C1683" i="1"/>
  <c r="D1683" i="1"/>
  <c r="C1684" i="1"/>
  <c r="D1684" i="1"/>
  <c r="C1685" i="1"/>
  <c r="D1685" i="1"/>
  <c r="C1686" i="1"/>
  <c r="D1686" i="1"/>
  <c r="C1687" i="1"/>
  <c r="D1687" i="1"/>
  <c r="C1688" i="1"/>
  <c r="D1688" i="1"/>
  <c r="C1689" i="1"/>
  <c r="D1689" i="1"/>
  <c r="C1690" i="1"/>
  <c r="D1690" i="1"/>
  <c r="C1691" i="1"/>
  <c r="D1691" i="1"/>
  <c r="C1692" i="1"/>
  <c r="D1692" i="1"/>
  <c r="C1693" i="1"/>
  <c r="D1693" i="1"/>
  <c r="C1694" i="1"/>
  <c r="D1694" i="1"/>
  <c r="C1695" i="1"/>
  <c r="D1695" i="1"/>
  <c r="C1696" i="1"/>
  <c r="D1696" i="1"/>
  <c r="C1697" i="1"/>
  <c r="D1697" i="1"/>
  <c r="C1698" i="1"/>
  <c r="D1698" i="1"/>
  <c r="C1699" i="1"/>
  <c r="D1699" i="1"/>
  <c r="C1700" i="1"/>
  <c r="D1700" i="1"/>
  <c r="C1701" i="1"/>
  <c r="D1701" i="1"/>
  <c r="C1702" i="1"/>
  <c r="D1702" i="1"/>
  <c r="C1703" i="1"/>
  <c r="D1703" i="1"/>
  <c r="C1704" i="1"/>
  <c r="D1704" i="1"/>
  <c r="C1705" i="1"/>
  <c r="D1705" i="1"/>
  <c r="C1706" i="1"/>
  <c r="D1706" i="1"/>
  <c r="C1707" i="1"/>
  <c r="D1707" i="1"/>
  <c r="C1708" i="1"/>
  <c r="D1708" i="1"/>
  <c r="C1709" i="1"/>
  <c r="D1709" i="1"/>
  <c r="C1710" i="1"/>
  <c r="D1710" i="1"/>
  <c r="C1711" i="1"/>
  <c r="D1711" i="1"/>
  <c r="C1712" i="1"/>
  <c r="D1712" i="1"/>
  <c r="C1713" i="1"/>
  <c r="D1713" i="1"/>
  <c r="C1714" i="1"/>
  <c r="D1714" i="1"/>
  <c r="C1715" i="1"/>
  <c r="D1715" i="1"/>
  <c r="C1716" i="1"/>
  <c r="D1716" i="1"/>
  <c r="C1717" i="1"/>
  <c r="D1717" i="1"/>
  <c r="C1718" i="1"/>
  <c r="D1718" i="1"/>
  <c r="C1719" i="1"/>
  <c r="D1719" i="1"/>
  <c r="C1720" i="1"/>
  <c r="D1720" i="1"/>
  <c r="C1721" i="1"/>
  <c r="D1721" i="1"/>
  <c r="C1722" i="1"/>
  <c r="D1722" i="1"/>
  <c r="C1723" i="1"/>
  <c r="D1723" i="1"/>
  <c r="C1724" i="1"/>
  <c r="D1724" i="1"/>
  <c r="C1725" i="1"/>
  <c r="D1725" i="1"/>
  <c r="C1726" i="1"/>
  <c r="D1726" i="1"/>
  <c r="C1727" i="1"/>
  <c r="D1727" i="1"/>
  <c r="C1728" i="1"/>
  <c r="D1728" i="1"/>
  <c r="C1729" i="1"/>
  <c r="D1729" i="1"/>
  <c r="C1730" i="1"/>
  <c r="D1730" i="1"/>
  <c r="C1731" i="1"/>
  <c r="D1731" i="1"/>
  <c r="C1732" i="1"/>
  <c r="D1732" i="1"/>
  <c r="C1733" i="1"/>
  <c r="D1733" i="1"/>
  <c r="C1734" i="1"/>
  <c r="D1734" i="1"/>
  <c r="C1735" i="1"/>
  <c r="D1735" i="1"/>
  <c r="C1736" i="1"/>
  <c r="D1736" i="1"/>
  <c r="C1737" i="1"/>
  <c r="D1737" i="1"/>
  <c r="C1738" i="1"/>
  <c r="D1738" i="1"/>
  <c r="C1739" i="1"/>
  <c r="D1739" i="1"/>
  <c r="C1740" i="1"/>
  <c r="D1740" i="1"/>
  <c r="C1741" i="1"/>
  <c r="D1741" i="1"/>
  <c r="C1742" i="1"/>
  <c r="D1742" i="1"/>
  <c r="C1743" i="1"/>
  <c r="D1743" i="1"/>
  <c r="C1744" i="1"/>
  <c r="D1744" i="1"/>
  <c r="C1745" i="1"/>
  <c r="D1745" i="1"/>
  <c r="C1746" i="1"/>
  <c r="D1746" i="1"/>
  <c r="C1747" i="1"/>
  <c r="D1747" i="1"/>
  <c r="C1748" i="1"/>
  <c r="D1748" i="1"/>
  <c r="C1749" i="1"/>
  <c r="D1749" i="1"/>
  <c r="C1750" i="1"/>
  <c r="D1750" i="1"/>
  <c r="C1751" i="1"/>
  <c r="D1751" i="1"/>
  <c r="C1752" i="1"/>
  <c r="D1752" i="1"/>
  <c r="C1753" i="1"/>
  <c r="D1753" i="1"/>
  <c r="C1754" i="1"/>
  <c r="D1754" i="1"/>
  <c r="C1755" i="1"/>
  <c r="D1755" i="1"/>
  <c r="C1756" i="1"/>
  <c r="D1756" i="1"/>
  <c r="C1757" i="1"/>
  <c r="D1757" i="1"/>
  <c r="C1758" i="1"/>
  <c r="D1758" i="1"/>
  <c r="C1759" i="1"/>
  <c r="D1759" i="1"/>
  <c r="C1760" i="1"/>
  <c r="D1760" i="1"/>
  <c r="C1761" i="1"/>
  <c r="D1761" i="1"/>
  <c r="C1762" i="1"/>
  <c r="D1762" i="1"/>
  <c r="C1763" i="1"/>
  <c r="D1763" i="1"/>
  <c r="C1764" i="1"/>
  <c r="D1764" i="1"/>
  <c r="C1765" i="1"/>
  <c r="D1765" i="1"/>
  <c r="C1766" i="1"/>
  <c r="D1766" i="1"/>
  <c r="C1767" i="1"/>
  <c r="D1767" i="1"/>
  <c r="C1768" i="1"/>
  <c r="D1768" i="1"/>
  <c r="C1769" i="1"/>
  <c r="D1769" i="1"/>
  <c r="C1770" i="1"/>
  <c r="D1770" i="1"/>
  <c r="C1771" i="1"/>
  <c r="D1771" i="1"/>
  <c r="C1772" i="1"/>
  <c r="D1772" i="1"/>
  <c r="C1773" i="1"/>
  <c r="D1773" i="1"/>
  <c r="C1774" i="1"/>
  <c r="D1774" i="1"/>
  <c r="C1775" i="1"/>
  <c r="D1775" i="1"/>
  <c r="C1776" i="1"/>
  <c r="D1776" i="1"/>
  <c r="C1777" i="1"/>
  <c r="D1777" i="1"/>
  <c r="C1778" i="1"/>
  <c r="D1778" i="1"/>
  <c r="C1779" i="1"/>
  <c r="D1779" i="1"/>
  <c r="C1780" i="1"/>
  <c r="D1780" i="1"/>
  <c r="C1781" i="1"/>
  <c r="D1781" i="1"/>
  <c r="C1782" i="1"/>
  <c r="D1782" i="1"/>
  <c r="C1783" i="1"/>
  <c r="D1783" i="1"/>
  <c r="C1784" i="1"/>
  <c r="D1784" i="1"/>
  <c r="C1785" i="1"/>
  <c r="D1785" i="1"/>
  <c r="C1786" i="1"/>
  <c r="D1786" i="1"/>
  <c r="C1787" i="1"/>
  <c r="D1787" i="1"/>
  <c r="C1788" i="1"/>
  <c r="D1788" i="1"/>
  <c r="C1789" i="1"/>
  <c r="D1789" i="1"/>
  <c r="C1790" i="1"/>
  <c r="D1790" i="1"/>
  <c r="C1791" i="1"/>
  <c r="D1791" i="1"/>
  <c r="C1792" i="1"/>
  <c r="D1792" i="1"/>
  <c r="C1793" i="1"/>
  <c r="D1793" i="1"/>
  <c r="C1794" i="1"/>
  <c r="D1794" i="1"/>
  <c r="C1795" i="1"/>
  <c r="D1795" i="1"/>
  <c r="C1796" i="1"/>
  <c r="D1796" i="1"/>
  <c r="C1797" i="1"/>
  <c r="D1797" i="1"/>
  <c r="C1798" i="1"/>
  <c r="D1798" i="1"/>
  <c r="C1799" i="1"/>
  <c r="D1799" i="1"/>
  <c r="C1800" i="1"/>
  <c r="D1800" i="1"/>
  <c r="C1801" i="1"/>
  <c r="D1801" i="1"/>
  <c r="C1802" i="1"/>
  <c r="D1802" i="1"/>
  <c r="C1803" i="1"/>
  <c r="D1803" i="1"/>
  <c r="C1804" i="1"/>
  <c r="D1804" i="1"/>
  <c r="C1805" i="1"/>
  <c r="D1805" i="1"/>
  <c r="C1806" i="1"/>
  <c r="D1806" i="1"/>
  <c r="C1807" i="1"/>
  <c r="D1807" i="1"/>
  <c r="C1808" i="1"/>
  <c r="D1808" i="1"/>
  <c r="C1809" i="1"/>
  <c r="D1809" i="1"/>
  <c r="C1810" i="1"/>
  <c r="D1810" i="1"/>
  <c r="C1811" i="1"/>
  <c r="D1811" i="1"/>
  <c r="C1812" i="1"/>
  <c r="D1812" i="1"/>
  <c r="C1813" i="1"/>
  <c r="D1813" i="1"/>
  <c r="C1814" i="1"/>
  <c r="D1814" i="1"/>
  <c r="C1815" i="1"/>
  <c r="D1815" i="1"/>
  <c r="C1816" i="1"/>
  <c r="D1816" i="1"/>
  <c r="C1817" i="1"/>
  <c r="D1817" i="1"/>
  <c r="C1818" i="1"/>
  <c r="D1818" i="1"/>
  <c r="C1819" i="1"/>
  <c r="D1819" i="1"/>
  <c r="C1820" i="1"/>
  <c r="D1820" i="1"/>
  <c r="C1821" i="1"/>
  <c r="D1821" i="1"/>
  <c r="C1822" i="1"/>
  <c r="D1822" i="1"/>
  <c r="C1823" i="1"/>
  <c r="D1823" i="1"/>
  <c r="C1824" i="1"/>
  <c r="D1824" i="1"/>
  <c r="C1825" i="1"/>
  <c r="D1825" i="1"/>
  <c r="C1826" i="1"/>
  <c r="D1826" i="1"/>
  <c r="C1827" i="1"/>
  <c r="D1827" i="1"/>
  <c r="C1828" i="1"/>
  <c r="D1828" i="1"/>
  <c r="C1829" i="1"/>
  <c r="D1829" i="1"/>
  <c r="C1830" i="1"/>
  <c r="D1830" i="1"/>
  <c r="C1831" i="1"/>
  <c r="D1831" i="1"/>
  <c r="C1832" i="1"/>
  <c r="D1832" i="1"/>
  <c r="C1833" i="1"/>
  <c r="D1833" i="1"/>
  <c r="C1834" i="1"/>
  <c r="D1834" i="1"/>
  <c r="C1835" i="1"/>
  <c r="D1835" i="1"/>
  <c r="C1836" i="1"/>
  <c r="D1836" i="1"/>
  <c r="C1837" i="1"/>
  <c r="D1837" i="1"/>
  <c r="C1838" i="1"/>
  <c r="D1838" i="1"/>
  <c r="C1839" i="1"/>
  <c r="D1839" i="1"/>
  <c r="C1840" i="1"/>
  <c r="D1840" i="1"/>
  <c r="C1841" i="1"/>
  <c r="D1841" i="1"/>
  <c r="C1842" i="1"/>
  <c r="D1842" i="1"/>
  <c r="C1843" i="1"/>
  <c r="D1843" i="1"/>
  <c r="C1844" i="1"/>
  <c r="D1844" i="1"/>
  <c r="C1845" i="1"/>
  <c r="D1845" i="1"/>
  <c r="C1846" i="1"/>
  <c r="D1846" i="1"/>
  <c r="C1847" i="1"/>
  <c r="D1847" i="1"/>
  <c r="C1848" i="1"/>
  <c r="D1848" i="1"/>
  <c r="C1849" i="1"/>
  <c r="D1849" i="1"/>
  <c r="C1850" i="1"/>
  <c r="D1850" i="1"/>
  <c r="C1851" i="1"/>
  <c r="D1851" i="1"/>
  <c r="C1852" i="1"/>
  <c r="D1852" i="1"/>
  <c r="C1853" i="1"/>
  <c r="D1853" i="1"/>
  <c r="C1854" i="1"/>
  <c r="D1854" i="1"/>
  <c r="C1855" i="1"/>
  <c r="D1855" i="1"/>
  <c r="C1856" i="1"/>
  <c r="D1856" i="1"/>
  <c r="C1857" i="1"/>
  <c r="D1857" i="1"/>
  <c r="C1858" i="1"/>
  <c r="D1858" i="1"/>
  <c r="C1859" i="1"/>
  <c r="D1859" i="1"/>
  <c r="C1860" i="1"/>
  <c r="D1860" i="1"/>
  <c r="C1861" i="1"/>
  <c r="D1861" i="1"/>
  <c r="C1862" i="1"/>
  <c r="D1862" i="1"/>
  <c r="C1863" i="1"/>
  <c r="D1863" i="1"/>
  <c r="C1864" i="1"/>
  <c r="D1864" i="1"/>
  <c r="C1865" i="1"/>
  <c r="D1865" i="1"/>
  <c r="C1866" i="1"/>
  <c r="D1866" i="1"/>
  <c r="C1867" i="1"/>
  <c r="D1867" i="1"/>
  <c r="C1868" i="1"/>
  <c r="D1868" i="1"/>
  <c r="C1869" i="1"/>
  <c r="D1869" i="1"/>
  <c r="C1870" i="1"/>
  <c r="D1870" i="1"/>
  <c r="C1871" i="1"/>
  <c r="D1871" i="1"/>
  <c r="C1872" i="1"/>
  <c r="D1872" i="1"/>
  <c r="C1873" i="1"/>
  <c r="D1873" i="1"/>
  <c r="C1874" i="1"/>
  <c r="D1874" i="1"/>
  <c r="C1875" i="1"/>
  <c r="D1875" i="1"/>
  <c r="C1876" i="1"/>
  <c r="D1876" i="1"/>
  <c r="C1877" i="1"/>
  <c r="D1877" i="1"/>
  <c r="C1878" i="1"/>
  <c r="D1878" i="1"/>
  <c r="C1879" i="1"/>
  <c r="D1879" i="1"/>
  <c r="C1880" i="1"/>
  <c r="D1880" i="1"/>
  <c r="C1881" i="1"/>
  <c r="D1881" i="1"/>
  <c r="C1882" i="1"/>
  <c r="D1882" i="1"/>
  <c r="C1883" i="1"/>
  <c r="D1883" i="1"/>
  <c r="C1884" i="1"/>
  <c r="D1884" i="1"/>
  <c r="C1885" i="1"/>
  <c r="D1885" i="1"/>
  <c r="C1886" i="1"/>
  <c r="D1886" i="1"/>
  <c r="C1887" i="1"/>
  <c r="D1887" i="1"/>
  <c r="C1888" i="1"/>
  <c r="D1888" i="1"/>
  <c r="C1889" i="1"/>
  <c r="D1889" i="1"/>
  <c r="C1890" i="1"/>
  <c r="D1890" i="1"/>
  <c r="C1891" i="1"/>
  <c r="D1891" i="1"/>
  <c r="C1892" i="1"/>
  <c r="D1892" i="1"/>
  <c r="C1893" i="1"/>
  <c r="D1893" i="1"/>
  <c r="C1894" i="1"/>
  <c r="D1894" i="1"/>
  <c r="C1895" i="1"/>
  <c r="D1895" i="1"/>
  <c r="C1896" i="1"/>
  <c r="D1896" i="1"/>
  <c r="C1897" i="1"/>
  <c r="D1897" i="1"/>
  <c r="C1898" i="1"/>
  <c r="D1898" i="1"/>
  <c r="C1899" i="1"/>
  <c r="D1899" i="1"/>
  <c r="C1900" i="1"/>
  <c r="D1900" i="1"/>
  <c r="C1901" i="1"/>
  <c r="D1901" i="1"/>
  <c r="C1902" i="1"/>
  <c r="D1902" i="1"/>
  <c r="C1903" i="1"/>
  <c r="D1903" i="1"/>
  <c r="C1904" i="1"/>
  <c r="D1904" i="1"/>
  <c r="C1905" i="1"/>
  <c r="D1905" i="1"/>
  <c r="C1906" i="1"/>
  <c r="D1906" i="1"/>
  <c r="C1907" i="1"/>
  <c r="D1907" i="1"/>
  <c r="C1908" i="1"/>
  <c r="D1908" i="1"/>
  <c r="C1909" i="1"/>
  <c r="D1909" i="1"/>
  <c r="C1910" i="1"/>
  <c r="D1910" i="1"/>
  <c r="C1911" i="1"/>
  <c r="D1911" i="1"/>
  <c r="C1912" i="1"/>
  <c r="D1912" i="1"/>
  <c r="C1913" i="1"/>
  <c r="D1913" i="1"/>
  <c r="C1914" i="1"/>
  <c r="D1914" i="1"/>
  <c r="C1915" i="1"/>
  <c r="D1915" i="1"/>
  <c r="C1916" i="1"/>
  <c r="D1916" i="1"/>
  <c r="C1917" i="1"/>
  <c r="D1917" i="1"/>
  <c r="C1918" i="1"/>
  <c r="D1918" i="1"/>
  <c r="C1919" i="1"/>
  <c r="D1919" i="1"/>
  <c r="C1920" i="1"/>
  <c r="D1920" i="1"/>
  <c r="C1921" i="1"/>
  <c r="D1921" i="1"/>
  <c r="C1922" i="1"/>
  <c r="D1922" i="1"/>
  <c r="C1923" i="1"/>
  <c r="D1923" i="1"/>
  <c r="C1924" i="1"/>
  <c r="D1924" i="1"/>
  <c r="C1925" i="1"/>
  <c r="D1925" i="1"/>
  <c r="C1926" i="1"/>
  <c r="D1926" i="1"/>
  <c r="C1927" i="1"/>
  <c r="D1927" i="1"/>
  <c r="C1928" i="1"/>
  <c r="D1928" i="1"/>
  <c r="C1929" i="1"/>
  <c r="D1929" i="1"/>
  <c r="C1930" i="1"/>
  <c r="D1930" i="1"/>
  <c r="C1931" i="1"/>
  <c r="D1931" i="1"/>
  <c r="C1932" i="1"/>
  <c r="D1932" i="1"/>
  <c r="C1933" i="1"/>
  <c r="D1933" i="1"/>
  <c r="C1934" i="1"/>
  <c r="D1934" i="1"/>
  <c r="C1935" i="1"/>
  <c r="D1935" i="1"/>
  <c r="C1936" i="1"/>
  <c r="D1936" i="1"/>
  <c r="C1937" i="1"/>
  <c r="D1937" i="1"/>
  <c r="C1938" i="1"/>
  <c r="D1938" i="1"/>
  <c r="C1939" i="1"/>
  <c r="D1939" i="1"/>
  <c r="C1940" i="1"/>
  <c r="D1940" i="1"/>
  <c r="C1941" i="1"/>
  <c r="D1941" i="1"/>
  <c r="C1942" i="1"/>
  <c r="D1942" i="1"/>
  <c r="C1943" i="1"/>
  <c r="D1943" i="1"/>
  <c r="C1944" i="1"/>
  <c r="D1944" i="1"/>
  <c r="C1945" i="1"/>
  <c r="D1945" i="1"/>
  <c r="C1946" i="1"/>
  <c r="D1946" i="1"/>
  <c r="C1947" i="1"/>
  <c r="D1947" i="1"/>
  <c r="C1948" i="1"/>
  <c r="D1948" i="1"/>
  <c r="C1949" i="1"/>
  <c r="D1949" i="1"/>
  <c r="C1950" i="1"/>
  <c r="D1950" i="1"/>
  <c r="C1951" i="1"/>
  <c r="D1951" i="1"/>
  <c r="C1952" i="1"/>
  <c r="D1952" i="1"/>
  <c r="C1953" i="1"/>
  <c r="D1953" i="1"/>
  <c r="C1954" i="1"/>
  <c r="D1954" i="1"/>
  <c r="C1955" i="1"/>
  <c r="D1955" i="1"/>
  <c r="C1956" i="1"/>
  <c r="D1956" i="1"/>
  <c r="C1957" i="1"/>
  <c r="D1957" i="1"/>
  <c r="C1958" i="1"/>
  <c r="D1958" i="1"/>
  <c r="C1959" i="1"/>
  <c r="D1959" i="1"/>
  <c r="C1960" i="1"/>
  <c r="D1960" i="1"/>
  <c r="C1961" i="1"/>
  <c r="D1961" i="1"/>
  <c r="C1962" i="1"/>
  <c r="D1962" i="1"/>
  <c r="C1963" i="1"/>
  <c r="D1963" i="1"/>
  <c r="C1964" i="1"/>
  <c r="D1964" i="1"/>
  <c r="C1965" i="1"/>
  <c r="D1965" i="1"/>
  <c r="C1966" i="1"/>
  <c r="D1966" i="1"/>
  <c r="C1967" i="1"/>
  <c r="D1967" i="1"/>
  <c r="C1968" i="1"/>
  <c r="D1968" i="1"/>
  <c r="C1969" i="1"/>
  <c r="D1969" i="1"/>
  <c r="C1970" i="1"/>
  <c r="D1970" i="1"/>
  <c r="C1971" i="1"/>
  <c r="D1971" i="1"/>
  <c r="C1972" i="1"/>
  <c r="D1972" i="1"/>
  <c r="C1973" i="1"/>
  <c r="D1973" i="1"/>
  <c r="C1974" i="1"/>
  <c r="D1974" i="1"/>
  <c r="C1975" i="1"/>
  <c r="D1975" i="1"/>
  <c r="C1976" i="1"/>
  <c r="D1976" i="1"/>
  <c r="C1977" i="1"/>
  <c r="D1977" i="1"/>
  <c r="C1978" i="1"/>
  <c r="D1978" i="1"/>
  <c r="C1979" i="1"/>
  <c r="D1979" i="1"/>
  <c r="C1980" i="1"/>
  <c r="D1980" i="1"/>
  <c r="C1981" i="1"/>
  <c r="D1981" i="1"/>
  <c r="C1982" i="1"/>
  <c r="D1982" i="1"/>
  <c r="C1983" i="1"/>
  <c r="D1983" i="1"/>
  <c r="C1984" i="1"/>
  <c r="D1984" i="1"/>
  <c r="C1985" i="1"/>
  <c r="D1985" i="1"/>
  <c r="C1986" i="1"/>
  <c r="D1986" i="1"/>
  <c r="C1987" i="1"/>
  <c r="D1987" i="1"/>
  <c r="C1988" i="1"/>
  <c r="D1988" i="1"/>
  <c r="C1989" i="1"/>
  <c r="D1989" i="1"/>
  <c r="C1990" i="1"/>
  <c r="D1990" i="1"/>
  <c r="C1991" i="1"/>
  <c r="D1991" i="1"/>
  <c r="C1992" i="1"/>
  <c r="D1992" i="1"/>
  <c r="C1993" i="1"/>
  <c r="D1993" i="1"/>
  <c r="C1994" i="1"/>
  <c r="D1994" i="1"/>
  <c r="C1995" i="1"/>
  <c r="D1995" i="1"/>
  <c r="C1996" i="1"/>
  <c r="D1996" i="1"/>
  <c r="C1997" i="1"/>
  <c r="D1997" i="1"/>
  <c r="C1998" i="1"/>
  <c r="D1998" i="1"/>
  <c r="C1999" i="1"/>
  <c r="D1999" i="1"/>
  <c r="C2000" i="1"/>
  <c r="D2000" i="1"/>
  <c r="C2001" i="1"/>
  <c r="D2001" i="1"/>
  <c r="C2002" i="1"/>
  <c r="D2002" i="1"/>
  <c r="C2003" i="1"/>
  <c r="D2003" i="1"/>
  <c r="C2004" i="1"/>
  <c r="D2004" i="1"/>
  <c r="C2005" i="1"/>
  <c r="D2005" i="1"/>
  <c r="C2006" i="1"/>
  <c r="D2006" i="1"/>
  <c r="C2007" i="1"/>
  <c r="D2007" i="1"/>
  <c r="C2008" i="1"/>
  <c r="D2008" i="1"/>
  <c r="C2009" i="1"/>
  <c r="D2009" i="1"/>
  <c r="C2010" i="1"/>
  <c r="D2010" i="1"/>
  <c r="C2011" i="1"/>
  <c r="D2011" i="1"/>
  <c r="C2012" i="1"/>
  <c r="D2012" i="1"/>
  <c r="C2013" i="1"/>
  <c r="D2013" i="1"/>
  <c r="C2014" i="1"/>
  <c r="D2014" i="1"/>
  <c r="C2015" i="1"/>
  <c r="D2015" i="1"/>
  <c r="C2016" i="1"/>
  <c r="D2016" i="1"/>
  <c r="C2017" i="1"/>
  <c r="D2017" i="1"/>
  <c r="C2018" i="1"/>
  <c r="D2018" i="1"/>
  <c r="C2019" i="1"/>
  <c r="D2019" i="1"/>
  <c r="C2020" i="1"/>
  <c r="D2020" i="1"/>
  <c r="C2021" i="1"/>
  <c r="D2021" i="1"/>
  <c r="C2022" i="1"/>
  <c r="D2022" i="1"/>
  <c r="C2023" i="1"/>
  <c r="D2023" i="1"/>
  <c r="C2024" i="1"/>
  <c r="D2024" i="1"/>
  <c r="C2025" i="1"/>
  <c r="D2025" i="1"/>
  <c r="C2026" i="1"/>
  <c r="D2026" i="1"/>
  <c r="C2027" i="1"/>
  <c r="D2027" i="1"/>
  <c r="C2028" i="1"/>
  <c r="D2028" i="1"/>
  <c r="C2029" i="1"/>
  <c r="D2029" i="1"/>
  <c r="C2030" i="1"/>
  <c r="D2030" i="1"/>
  <c r="C2031" i="1"/>
  <c r="D2031" i="1"/>
  <c r="C2032" i="1"/>
  <c r="D2032" i="1"/>
  <c r="C2033" i="1"/>
  <c r="D2033" i="1"/>
  <c r="C2034" i="1"/>
  <c r="D2034" i="1"/>
  <c r="C2035" i="1"/>
  <c r="D2035" i="1"/>
  <c r="C2036" i="1"/>
  <c r="D2036" i="1"/>
  <c r="C2037" i="1"/>
  <c r="D2037" i="1"/>
  <c r="C2038" i="1"/>
  <c r="D2038" i="1"/>
  <c r="C2039" i="1"/>
  <c r="D2039" i="1"/>
  <c r="C2040" i="1"/>
  <c r="D2040" i="1"/>
  <c r="C2041" i="1"/>
  <c r="D2041" i="1"/>
  <c r="C2042" i="1"/>
  <c r="D2042" i="1"/>
  <c r="C2043" i="1"/>
  <c r="D2043" i="1"/>
  <c r="C2044" i="1"/>
  <c r="D2044" i="1"/>
  <c r="C2045" i="1"/>
  <c r="D2045" i="1"/>
  <c r="C2046" i="1"/>
  <c r="D2046" i="1"/>
  <c r="C2047" i="1"/>
  <c r="D2047" i="1"/>
  <c r="C2048" i="1"/>
  <c r="D2048" i="1"/>
  <c r="C2049" i="1"/>
  <c r="D2049" i="1"/>
  <c r="C2050" i="1"/>
  <c r="D2050" i="1"/>
  <c r="C2051" i="1"/>
  <c r="D2051" i="1"/>
  <c r="C2052" i="1"/>
  <c r="D2052" i="1"/>
  <c r="C2053" i="1"/>
  <c r="D2053" i="1"/>
  <c r="C2054" i="1"/>
  <c r="D2054" i="1"/>
  <c r="C2055" i="1"/>
  <c r="D2055" i="1"/>
  <c r="C2056" i="1"/>
  <c r="D2056" i="1"/>
  <c r="C2057" i="1"/>
  <c r="D2057" i="1"/>
  <c r="C2058" i="1"/>
  <c r="D2058" i="1"/>
  <c r="C2059" i="1"/>
  <c r="D2059" i="1"/>
  <c r="C2060" i="1"/>
  <c r="D2060" i="1"/>
  <c r="C2061" i="1"/>
  <c r="D2061" i="1"/>
  <c r="C2062" i="1"/>
  <c r="D2062" i="1"/>
  <c r="C2063" i="1"/>
  <c r="D2063" i="1"/>
  <c r="C2064" i="1"/>
  <c r="D2064" i="1"/>
  <c r="C2065" i="1"/>
  <c r="D2065" i="1"/>
  <c r="C2066" i="1"/>
  <c r="D2066" i="1"/>
  <c r="C2067" i="1"/>
  <c r="D2067" i="1"/>
  <c r="C2068" i="1"/>
  <c r="D2068" i="1"/>
  <c r="C2069" i="1"/>
  <c r="D2069" i="1"/>
  <c r="C2070" i="1"/>
  <c r="D2070" i="1"/>
  <c r="C2071" i="1"/>
  <c r="D2071" i="1"/>
  <c r="C2072" i="1"/>
  <c r="D2072" i="1"/>
  <c r="C2073" i="1"/>
  <c r="D2073" i="1"/>
  <c r="C2074" i="1"/>
  <c r="D2074" i="1"/>
  <c r="C2075" i="1"/>
  <c r="D2075" i="1"/>
  <c r="C2076" i="1"/>
  <c r="D2076" i="1"/>
  <c r="C2077" i="1"/>
  <c r="D2077" i="1"/>
  <c r="C2078" i="1"/>
  <c r="D2078" i="1"/>
  <c r="C2079" i="1"/>
  <c r="D2079" i="1"/>
  <c r="C2080" i="1"/>
  <c r="D2080" i="1"/>
  <c r="C2081" i="1"/>
  <c r="D2081" i="1"/>
  <c r="C2082" i="1"/>
  <c r="D2082" i="1"/>
  <c r="C2083" i="1"/>
  <c r="D2083" i="1"/>
  <c r="C2084" i="1"/>
  <c r="D2084" i="1"/>
  <c r="C2085" i="1"/>
  <c r="D2085" i="1"/>
  <c r="C2086" i="1"/>
  <c r="D2086" i="1"/>
  <c r="C2087" i="1"/>
  <c r="D2087" i="1"/>
  <c r="C2088" i="1"/>
  <c r="D2088" i="1"/>
  <c r="C2089" i="1"/>
  <c r="D2089" i="1"/>
  <c r="C2090" i="1"/>
  <c r="D2090" i="1"/>
  <c r="C2091" i="1"/>
  <c r="D2091" i="1"/>
  <c r="C2092" i="1"/>
  <c r="D2092" i="1"/>
  <c r="C2093" i="1"/>
  <c r="D2093" i="1"/>
  <c r="C2094" i="1"/>
  <c r="D2094" i="1"/>
  <c r="C2095" i="1"/>
  <c r="D2095" i="1"/>
  <c r="C2096" i="1"/>
  <c r="D2096" i="1"/>
  <c r="C2097" i="1"/>
  <c r="D2097" i="1"/>
  <c r="C2098" i="1"/>
  <c r="D2098" i="1"/>
  <c r="C2099" i="1"/>
  <c r="D2099" i="1"/>
  <c r="C2100" i="1"/>
  <c r="D2100" i="1"/>
  <c r="C2101" i="1"/>
  <c r="D2101" i="1"/>
  <c r="C2102" i="1"/>
  <c r="D2102" i="1"/>
  <c r="C2103" i="1"/>
  <c r="D2103" i="1"/>
  <c r="C2104" i="1"/>
  <c r="D2104" i="1"/>
  <c r="C2105" i="1"/>
  <c r="D2105" i="1"/>
  <c r="C2106" i="1"/>
  <c r="D2106" i="1"/>
  <c r="C2107" i="1"/>
  <c r="D2107" i="1"/>
  <c r="C2108" i="1"/>
  <c r="D2108" i="1"/>
  <c r="C2109" i="1"/>
  <c r="D2109" i="1"/>
  <c r="C2110" i="1"/>
  <c r="D2110" i="1"/>
  <c r="C2111" i="1"/>
  <c r="D2111" i="1"/>
  <c r="C2112" i="1"/>
  <c r="D2112" i="1"/>
  <c r="C2113" i="1"/>
  <c r="D2113" i="1"/>
  <c r="C2114" i="1"/>
  <c r="D2114" i="1"/>
  <c r="C2115" i="1"/>
  <c r="D2115" i="1"/>
  <c r="C2116" i="1"/>
  <c r="D2116" i="1"/>
  <c r="C2117" i="1"/>
  <c r="D2117" i="1"/>
  <c r="C2118" i="1"/>
  <c r="D2118" i="1"/>
  <c r="C2119" i="1"/>
  <c r="D2119" i="1"/>
  <c r="C2120" i="1"/>
  <c r="D2120" i="1"/>
  <c r="C2121" i="1"/>
  <c r="D2121" i="1"/>
  <c r="C2122" i="1"/>
  <c r="D2122" i="1"/>
  <c r="C2123" i="1"/>
  <c r="D2123" i="1"/>
  <c r="C2124" i="1"/>
  <c r="D2124" i="1"/>
  <c r="C2125" i="1"/>
  <c r="D2125" i="1"/>
  <c r="C2126" i="1"/>
  <c r="D2126" i="1"/>
  <c r="C2127" i="1"/>
  <c r="D2127" i="1"/>
  <c r="C2128" i="1"/>
  <c r="D2128" i="1"/>
  <c r="C2129" i="1"/>
  <c r="D2129" i="1"/>
  <c r="C2130" i="1"/>
  <c r="D2130" i="1"/>
  <c r="C2131" i="1"/>
  <c r="D2131" i="1"/>
  <c r="C2132" i="1"/>
  <c r="D2132" i="1"/>
  <c r="C2133" i="1"/>
  <c r="D2133" i="1"/>
  <c r="C2134" i="1"/>
  <c r="D2134" i="1"/>
  <c r="C2135" i="1"/>
  <c r="D2135" i="1"/>
  <c r="C2136" i="1"/>
  <c r="D2136" i="1"/>
  <c r="C2137" i="1"/>
  <c r="D2137" i="1"/>
  <c r="C2138" i="1"/>
  <c r="D2138" i="1"/>
  <c r="C2139" i="1"/>
  <c r="D2139" i="1"/>
  <c r="C2140" i="1"/>
  <c r="D2140" i="1"/>
  <c r="C2141" i="1"/>
  <c r="D2141" i="1"/>
  <c r="C2142" i="1"/>
  <c r="D2142" i="1"/>
  <c r="C2143" i="1"/>
  <c r="D2143" i="1"/>
  <c r="C2144" i="1"/>
  <c r="D2144" i="1"/>
  <c r="C2145" i="1"/>
  <c r="D2145" i="1"/>
  <c r="C2146" i="1"/>
  <c r="D2146" i="1"/>
  <c r="C2147" i="1"/>
  <c r="D2147" i="1"/>
  <c r="C2148" i="1"/>
  <c r="D2148" i="1"/>
  <c r="C2149" i="1"/>
  <c r="D2149" i="1"/>
  <c r="C2150" i="1"/>
  <c r="D2150" i="1"/>
  <c r="C2151" i="1"/>
  <c r="D2151" i="1"/>
  <c r="C2152" i="1"/>
  <c r="D2152" i="1"/>
  <c r="C2153" i="1"/>
  <c r="D2153" i="1"/>
  <c r="C2154" i="1"/>
  <c r="D2154" i="1"/>
  <c r="C2155" i="1"/>
  <c r="D2155" i="1"/>
  <c r="C2156" i="1"/>
  <c r="D2156" i="1"/>
  <c r="C2157" i="1"/>
  <c r="D2157" i="1"/>
  <c r="C2158" i="1"/>
  <c r="D2158" i="1"/>
  <c r="C2159" i="1"/>
  <c r="D2159" i="1"/>
  <c r="C2160" i="1"/>
  <c r="D2160" i="1"/>
  <c r="C2161" i="1"/>
  <c r="D2161" i="1"/>
  <c r="C2162" i="1"/>
  <c r="D2162" i="1"/>
  <c r="C2163" i="1"/>
  <c r="D2163" i="1"/>
  <c r="C2164" i="1"/>
  <c r="D2164" i="1"/>
  <c r="C2165" i="1"/>
  <c r="D2165" i="1"/>
  <c r="C2166" i="1"/>
  <c r="D2166" i="1"/>
  <c r="C2167" i="1"/>
  <c r="D2167" i="1"/>
  <c r="C2168" i="1"/>
  <c r="D2168" i="1"/>
  <c r="C2169" i="1"/>
  <c r="D2169" i="1"/>
  <c r="C2170" i="1"/>
  <c r="D2170" i="1"/>
  <c r="C2171" i="1"/>
  <c r="D2171" i="1"/>
  <c r="C2172" i="1"/>
  <c r="D2172" i="1"/>
  <c r="C2173" i="1"/>
  <c r="D2173" i="1"/>
  <c r="C2174" i="1"/>
  <c r="D2174" i="1"/>
  <c r="C2175" i="1"/>
  <c r="D2175" i="1"/>
  <c r="C2176" i="1"/>
  <c r="D2176" i="1"/>
  <c r="C2177" i="1"/>
  <c r="D2177" i="1"/>
  <c r="C2178" i="1"/>
  <c r="D2178" i="1"/>
  <c r="C2179" i="1"/>
  <c r="D2179" i="1"/>
  <c r="C2180" i="1"/>
  <c r="D2180" i="1"/>
  <c r="C2181" i="1"/>
  <c r="D2181" i="1"/>
  <c r="C2182" i="1"/>
  <c r="D2182" i="1"/>
  <c r="C2183" i="1"/>
  <c r="D2183" i="1"/>
  <c r="C2184" i="1"/>
  <c r="D2184" i="1"/>
  <c r="C2185" i="1"/>
  <c r="D2185" i="1"/>
  <c r="C2186" i="1"/>
  <c r="D2186" i="1"/>
  <c r="C2187" i="1"/>
  <c r="D2187" i="1"/>
  <c r="C2188" i="1"/>
  <c r="D2188" i="1"/>
  <c r="C2189" i="1"/>
  <c r="D2189" i="1"/>
  <c r="C2190" i="1"/>
  <c r="D2190" i="1"/>
  <c r="C2191" i="1"/>
  <c r="D2191" i="1"/>
  <c r="C2192" i="1"/>
  <c r="D2192" i="1"/>
  <c r="C2193" i="1"/>
  <c r="D2193" i="1"/>
  <c r="C2194" i="1"/>
  <c r="D2194" i="1"/>
  <c r="C2195" i="1"/>
  <c r="D2195" i="1"/>
  <c r="C2196" i="1"/>
  <c r="D2196" i="1"/>
  <c r="C2197" i="1"/>
  <c r="D2197" i="1"/>
  <c r="C2198" i="1"/>
  <c r="D2198" i="1"/>
  <c r="C2199" i="1"/>
  <c r="D2199" i="1"/>
  <c r="C2200" i="1"/>
  <c r="D2200" i="1"/>
  <c r="C2201" i="1"/>
  <c r="D2201" i="1"/>
  <c r="C2202" i="1"/>
  <c r="D2202" i="1"/>
  <c r="C2203" i="1"/>
  <c r="D2203" i="1"/>
  <c r="C2204" i="1"/>
  <c r="D2204" i="1"/>
  <c r="C2205" i="1"/>
  <c r="D2205" i="1"/>
  <c r="C2206" i="1"/>
  <c r="D2206" i="1"/>
  <c r="C2207" i="1"/>
  <c r="D2207" i="1"/>
  <c r="C2208" i="1"/>
  <c r="D2208" i="1"/>
  <c r="C2209" i="1"/>
  <c r="D2209" i="1"/>
  <c r="C2210" i="1"/>
  <c r="D2210" i="1"/>
  <c r="C2211" i="1"/>
  <c r="D2211" i="1"/>
  <c r="C2212" i="1"/>
  <c r="D2212" i="1"/>
  <c r="C2213" i="1"/>
  <c r="D2213" i="1"/>
  <c r="C2214" i="1"/>
  <c r="D2214" i="1"/>
  <c r="C2215" i="1"/>
  <c r="D2215" i="1"/>
  <c r="C2216" i="1"/>
  <c r="D2216" i="1"/>
  <c r="C2217" i="1"/>
  <c r="D2217" i="1"/>
  <c r="C2218" i="1"/>
  <c r="D2218" i="1"/>
  <c r="C2219" i="1"/>
  <c r="D2219" i="1"/>
  <c r="C2220" i="1"/>
  <c r="D2220" i="1"/>
  <c r="C2221" i="1"/>
  <c r="D2221" i="1"/>
  <c r="C2222" i="1"/>
  <c r="D2222" i="1"/>
  <c r="C2223" i="1"/>
  <c r="D2223" i="1"/>
  <c r="C2224" i="1"/>
  <c r="D2224" i="1"/>
  <c r="C2225" i="1"/>
  <c r="D2225" i="1"/>
  <c r="C2226" i="1"/>
  <c r="D2226" i="1"/>
  <c r="C2227" i="1"/>
  <c r="D2227" i="1"/>
  <c r="C2228" i="1"/>
  <c r="D2228" i="1"/>
  <c r="C2229" i="1"/>
  <c r="D2229" i="1"/>
  <c r="C2230" i="1"/>
  <c r="D2230" i="1"/>
  <c r="C2231" i="1"/>
  <c r="D2231" i="1"/>
  <c r="C2232" i="1"/>
  <c r="D2232" i="1"/>
  <c r="C2233" i="1"/>
  <c r="D2233" i="1"/>
  <c r="C2234" i="1"/>
  <c r="D2234" i="1"/>
  <c r="C2235" i="1"/>
  <c r="D2235" i="1"/>
  <c r="C2236" i="1"/>
  <c r="D2236" i="1"/>
  <c r="C2237" i="1"/>
  <c r="D2237" i="1"/>
  <c r="C2238" i="1"/>
  <c r="D2238" i="1"/>
  <c r="C2239" i="1"/>
  <c r="D2239" i="1"/>
  <c r="C2240" i="1"/>
  <c r="D2240" i="1"/>
  <c r="C2241" i="1"/>
  <c r="D2241" i="1"/>
  <c r="C2242" i="1"/>
  <c r="D2242" i="1"/>
  <c r="C2243" i="1"/>
  <c r="D2243" i="1"/>
  <c r="C2244" i="1"/>
  <c r="D2244" i="1"/>
  <c r="C2245" i="1"/>
  <c r="D2245" i="1"/>
  <c r="C2246" i="1"/>
  <c r="D2246" i="1"/>
  <c r="C2247" i="1"/>
  <c r="D2247" i="1"/>
  <c r="C2248" i="1"/>
  <c r="D2248" i="1"/>
  <c r="C2249" i="1"/>
  <c r="D2249" i="1"/>
  <c r="C2250" i="1"/>
  <c r="D2250" i="1"/>
  <c r="C2251" i="1"/>
  <c r="D2251" i="1"/>
  <c r="C2252" i="1"/>
  <c r="D2252" i="1"/>
  <c r="C2253" i="1"/>
  <c r="D2253" i="1"/>
  <c r="C2254" i="1"/>
  <c r="D2254" i="1"/>
  <c r="C2255" i="1"/>
  <c r="D2255" i="1"/>
  <c r="C2256" i="1"/>
  <c r="D2256" i="1"/>
  <c r="C2257" i="1"/>
  <c r="D2257" i="1"/>
  <c r="C2258" i="1"/>
  <c r="D2258" i="1"/>
  <c r="C2259" i="1"/>
  <c r="D2259" i="1"/>
  <c r="C2260" i="1"/>
  <c r="D2260" i="1"/>
  <c r="C2261" i="1"/>
  <c r="D2261" i="1"/>
  <c r="C2262" i="1"/>
  <c r="D2262" i="1"/>
  <c r="C2263" i="1"/>
  <c r="D2263" i="1"/>
  <c r="C2264" i="1"/>
  <c r="D2264" i="1"/>
  <c r="C2265" i="1"/>
  <c r="D2265" i="1"/>
  <c r="C2266" i="1"/>
  <c r="D2266" i="1"/>
  <c r="C2267" i="1"/>
  <c r="D2267" i="1"/>
  <c r="C2268" i="1"/>
  <c r="D2268" i="1"/>
  <c r="C2269" i="1"/>
  <c r="D2269" i="1"/>
  <c r="C2270" i="1"/>
  <c r="D2270" i="1"/>
  <c r="C2271" i="1"/>
  <c r="D2271" i="1"/>
  <c r="C2272" i="1"/>
  <c r="D2272" i="1"/>
  <c r="C2273" i="1"/>
  <c r="D2273" i="1"/>
  <c r="C2274" i="1"/>
  <c r="D2274" i="1"/>
  <c r="C2275" i="1"/>
  <c r="D2275" i="1"/>
  <c r="C2276" i="1"/>
  <c r="D2276" i="1"/>
  <c r="C2277" i="1"/>
  <c r="D2277" i="1"/>
  <c r="C2278" i="1"/>
  <c r="D2278" i="1"/>
  <c r="C2279" i="1"/>
  <c r="D2279" i="1"/>
  <c r="C2280" i="1"/>
  <c r="D2280" i="1"/>
  <c r="C2281" i="1"/>
  <c r="D2281" i="1"/>
  <c r="C2282" i="1"/>
  <c r="D2282" i="1"/>
  <c r="C2283" i="1"/>
  <c r="D2283" i="1"/>
  <c r="C2284" i="1"/>
  <c r="D2284" i="1"/>
  <c r="C2285" i="1"/>
  <c r="D2285" i="1"/>
  <c r="C2286" i="1"/>
  <c r="D2286" i="1"/>
  <c r="C2287" i="1"/>
  <c r="D2287" i="1"/>
  <c r="C2288" i="1"/>
  <c r="D2288" i="1"/>
  <c r="C2289" i="1"/>
  <c r="D2289" i="1"/>
  <c r="C2290" i="1"/>
  <c r="D2290" i="1"/>
  <c r="C2291" i="1"/>
  <c r="D2291" i="1"/>
  <c r="C2292" i="1"/>
  <c r="D2292" i="1"/>
  <c r="C2293" i="1"/>
  <c r="D2293" i="1"/>
  <c r="C2294" i="1"/>
  <c r="D2294" i="1"/>
  <c r="C2295" i="1"/>
  <c r="D2295" i="1"/>
  <c r="C2296" i="1"/>
  <c r="D2296" i="1"/>
  <c r="C2297" i="1"/>
  <c r="D2297" i="1"/>
  <c r="C2298" i="1"/>
  <c r="D2298" i="1"/>
  <c r="C2299" i="1"/>
  <c r="D2299" i="1"/>
  <c r="C2300" i="1"/>
  <c r="D2300" i="1"/>
  <c r="C2301" i="1"/>
  <c r="D2301" i="1"/>
  <c r="C2302" i="1"/>
  <c r="D2302" i="1"/>
  <c r="C2303" i="1"/>
  <c r="D2303" i="1"/>
  <c r="C2304" i="1"/>
  <c r="D2304" i="1"/>
  <c r="C2305" i="1"/>
  <c r="D2305" i="1"/>
  <c r="C2306" i="1"/>
  <c r="D2306" i="1"/>
  <c r="C2307" i="1"/>
  <c r="D2307" i="1"/>
  <c r="C2308" i="1"/>
  <c r="D2308" i="1"/>
  <c r="C2309" i="1"/>
  <c r="D2309" i="1"/>
  <c r="C2310" i="1"/>
  <c r="D2310" i="1"/>
  <c r="C2311" i="1"/>
  <c r="D2311" i="1"/>
  <c r="C2312" i="1"/>
  <c r="D2312" i="1"/>
  <c r="C2313" i="1"/>
  <c r="D2313" i="1"/>
  <c r="C2314" i="1"/>
  <c r="D2314" i="1"/>
  <c r="C2315" i="1"/>
  <c r="D2315" i="1"/>
  <c r="C2316" i="1"/>
  <c r="D2316" i="1"/>
  <c r="C2317" i="1"/>
  <c r="D2317" i="1"/>
  <c r="C2318" i="1"/>
  <c r="D2318" i="1"/>
  <c r="C2319" i="1"/>
  <c r="D2319" i="1"/>
  <c r="C2320" i="1"/>
  <c r="D2320" i="1"/>
  <c r="C2321" i="1"/>
  <c r="D2321" i="1"/>
  <c r="C2322" i="1"/>
  <c r="D2322" i="1"/>
  <c r="C2323" i="1"/>
  <c r="D2323" i="1"/>
  <c r="C2324" i="1"/>
  <c r="D2324" i="1"/>
  <c r="C2325" i="1"/>
  <c r="D2325" i="1"/>
  <c r="C2326" i="1"/>
  <c r="D2326" i="1"/>
  <c r="C2327" i="1"/>
  <c r="D2327" i="1"/>
  <c r="C2328" i="1"/>
  <c r="D2328" i="1"/>
  <c r="C2329" i="1"/>
  <c r="D2329" i="1"/>
  <c r="C2330" i="1"/>
  <c r="D2330" i="1"/>
  <c r="C2331" i="1"/>
  <c r="D2331" i="1"/>
  <c r="C2332" i="1"/>
  <c r="D2332" i="1"/>
  <c r="C2333" i="1"/>
  <c r="D2333" i="1"/>
  <c r="C2334" i="1"/>
  <c r="D2334" i="1"/>
  <c r="C2335" i="1"/>
  <c r="D2335" i="1"/>
  <c r="C2336" i="1"/>
  <c r="D2336" i="1"/>
  <c r="C2337" i="1"/>
  <c r="D2337" i="1"/>
  <c r="C2338" i="1"/>
  <c r="D2338" i="1"/>
  <c r="C2339" i="1"/>
  <c r="D2339" i="1"/>
  <c r="C2340" i="1"/>
  <c r="D2340" i="1"/>
  <c r="C2341" i="1"/>
  <c r="D2341" i="1"/>
  <c r="C2342" i="1"/>
  <c r="D2342" i="1"/>
  <c r="C2343" i="1"/>
  <c r="D2343" i="1"/>
  <c r="C2344" i="1"/>
  <c r="D2344" i="1"/>
  <c r="C2345" i="1"/>
  <c r="D2345" i="1"/>
  <c r="C2346" i="1"/>
  <c r="D2346" i="1"/>
  <c r="C2347" i="1"/>
  <c r="D2347" i="1"/>
  <c r="C2348" i="1"/>
  <c r="D2348" i="1"/>
  <c r="C2349" i="1"/>
  <c r="D2349" i="1"/>
  <c r="C2350" i="1"/>
  <c r="D2350" i="1"/>
  <c r="C2351" i="1"/>
  <c r="D2351" i="1"/>
  <c r="C2352" i="1"/>
  <c r="D2352" i="1"/>
  <c r="C2353" i="1"/>
  <c r="D2353" i="1"/>
  <c r="C2354" i="1"/>
  <c r="D2354" i="1"/>
  <c r="C2355" i="1"/>
  <c r="D2355" i="1"/>
  <c r="C2356" i="1"/>
  <c r="D2356" i="1"/>
  <c r="C2357" i="1"/>
  <c r="D2357" i="1"/>
  <c r="C2358" i="1"/>
  <c r="D2358" i="1"/>
  <c r="C2359" i="1"/>
  <c r="D2359" i="1"/>
  <c r="C2360" i="1"/>
  <c r="D2360" i="1"/>
  <c r="C2361" i="1"/>
  <c r="D2361" i="1"/>
  <c r="C2362" i="1"/>
  <c r="D2362" i="1"/>
  <c r="C2363" i="1"/>
  <c r="D2363" i="1"/>
  <c r="C2364" i="1"/>
  <c r="D2364" i="1"/>
  <c r="C2365" i="1"/>
  <c r="D2365" i="1"/>
  <c r="C2366" i="1"/>
  <c r="D2366" i="1"/>
  <c r="C2367" i="1"/>
  <c r="D2367" i="1"/>
  <c r="C2368" i="1"/>
  <c r="D2368" i="1"/>
  <c r="C2369" i="1"/>
  <c r="D2369" i="1"/>
  <c r="C2370" i="1"/>
  <c r="D2370" i="1"/>
  <c r="C2371" i="1"/>
  <c r="D2371" i="1"/>
  <c r="C2372" i="1"/>
  <c r="D2372" i="1"/>
  <c r="C2373" i="1"/>
  <c r="D2373" i="1"/>
  <c r="C2374" i="1"/>
  <c r="D2374" i="1"/>
  <c r="C2375" i="1"/>
  <c r="D2375" i="1"/>
  <c r="C2376" i="1"/>
  <c r="D2376" i="1"/>
  <c r="C2377" i="1"/>
  <c r="D2377" i="1"/>
  <c r="C2378" i="1"/>
  <c r="D2378" i="1"/>
  <c r="C2379" i="1"/>
  <c r="D2379" i="1"/>
  <c r="C2380" i="1"/>
  <c r="D2380" i="1"/>
  <c r="C2381" i="1"/>
  <c r="D2381" i="1"/>
  <c r="C2382" i="1"/>
  <c r="D2382" i="1"/>
  <c r="C2383" i="1"/>
  <c r="D2383" i="1"/>
  <c r="C2384" i="1"/>
  <c r="D2384" i="1"/>
  <c r="C2385" i="1"/>
  <c r="D2385" i="1"/>
  <c r="C2386" i="1"/>
  <c r="D2386" i="1"/>
  <c r="C2387" i="1"/>
  <c r="D2387" i="1"/>
  <c r="C2388" i="1"/>
  <c r="D2388" i="1"/>
  <c r="C2389" i="1"/>
  <c r="D2389" i="1"/>
  <c r="C2390" i="1"/>
  <c r="D2390" i="1"/>
  <c r="C2391" i="1"/>
  <c r="D2391" i="1"/>
  <c r="C2392" i="1"/>
  <c r="D2392" i="1"/>
  <c r="C2393" i="1"/>
  <c r="D2393" i="1"/>
  <c r="C2394" i="1"/>
  <c r="D2394" i="1"/>
  <c r="C2395" i="1"/>
  <c r="D2395" i="1"/>
  <c r="C2396" i="1"/>
  <c r="D2396" i="1"/>
  <c r="C2397" i="1"/>
  <c r="D2397" i="1"/>
  <c r="C2398" i="1"/>
  <c r="D2398" i="1"/>
  <c r="C2399" i="1"/>
  <c r="D2399" i="1"/>
  <c r="C2400" i="1"/>
  <c r="D2400" i="1"/>
  <c r="C2401" i="1"/>
  <c r="D2401" i="1"/>
  <c r="C2402" i="1"/>
  <c r="D2402" i="1"/>
  <c r="C2403" i="1"/>
  <c r="D2403" i="1"/>
  <c r="C2404" i="1"/>
  <c r="D2404" i="1"/>
  <c r="C2405" i="1"/>
  <c r="D2405" i="1"/>
  <c r="C2406" i="1"/>
  <c r="D2406" i="1"/>
  <c r="C2407" i="1"/>
  <c r="D2407" i="1"/>
  <c r="C2408" i="1"/>
  <c r="D2408" i="1"/>
  <c r="C2409" i="1"/>
  <c r="D2409" i="1"/>
  <c r="C2410" i="1"/>
  <c r="D2410" i="1"/>
  <c r="C2411" i="1"/>
  <c r="D2411" i="1"/>
  <c r="C2412" i="1"/>
  <c r="D2412" i="1"/>
  <c r="C2413" i="1"/>
  <c r="D2413" i="1"/>
  <c r="C2414" i="1"/>
  <c r="D2414" i="1"/>
  <c r="C2415" i="1"/>
  <c r="D2415" i="1"/>
  <c r="C2416" i="1"/>
  <c r="D2416" i="1"/>
  <c r="C2417" i="1"/>
  <c r="D2417" i="1"/>
  <c r="C2418" i="1"/>
  <c r="D2418" i="1"/>
  <c r="C2419" i="1"/>
  <c r="D2419" i="1"/>
  <c r="C2420" i="1"/>
  <c r="D2420" i="1"/>
  <c r="C2421" i="1"/>
  <c r="D2421" i="1"/>
  <c r="C2422" i="1"/>
  <c r="D2422" i="1"/>
  <c r="C2423" i="1"/>
  <c r="D2423" i="1"/>
  <c r="C2424" i="1"/>
  <c r="D2424" i="1"/>
  <c r="C2425" i="1"/>
  <c r="D2425" i="1"/>
  <c r="C2426" i="1"/>
  <c r="D2426" i="1"/>
  <c r="C2427" i="1"/>
  <c r="D2427" i="1"/>
  <c r="C2428" i="1"/>
  <c r="D2428" i="1"/>
  <c r="C2429" i="1"/>
  <c r="D2429" i="1"/>
  <c r="C2430" i="1"/>
  <c r="D2430" i="1"/>
  <c r="C2431" i="1"/>
  <c r="D2431" i="1"/>
  <c r="C2432" i="1"/>
  <c r="D2432" i="1"/>
  <c r="C2433" i="1"/>
  <c r="D2433" i="1"/>
  <c r="C2434" i="1"/>
  <c r="D2434" i="1"/>
  <c r="C2435" i="1"/>
  <c r="D2435" i="1"/>
  <c r="C2436" i="1"/>
  <c r="D2436" i="1"/>
  <c r="C2437" i="1"/>
  <c r="D2437" i="1"/>
  <c r="C2438" i="1"/>
  <c r="D2438" i="1"/>
  <c r="C2439" i="1"/>
  <c r="D2439" i="1"/>
  <c r="C2440" i="1"/>
  <c r="D2440" i="1"/>
  <c r="C2441" i="1"/>
  <c r="D2441" i="1"/>
  <c r="C2442" i="1"/>
  <c r="D2442" i="1"/>
  <c r="C2443" i="1"/>
  <c r="D2443" i="1"/>
  <c r="C2444" i="1"/>
  <c r="D2444" i="1"/>
  <c r="C2445" i="1"/>
  <c r="D2445" i="1"/>
  <c r="C2446" i="1"/>
  <c r="D2446" i="1"/>
  <c r="C2447" i="1"/>
  <c r="D2447" i="1"/>
  <c r="C2448" i="1"/>
  <c r="D2448" i="1"/>
  <c r="C2449" i="1"/>
  <c r="D2449" i="1"/>
  <c r="C2450" i="1"/>
  <c r="D2450" i="1"/>
  <c r="C2451" i="1"/>
  <c r="D2451" i="1"/>
  <c r="C2452" i="1"/>
  <c r="D2452" i="1"/>
  <c r="C2453" i="1"/>
  <c r="D2453" i="1"/>
  <c r="C2454" i="1"/>
  <c r="D2454" i="1"/>
  <c r="C2455" i="1"/>
  <c r="D2455" i="1"/>
  <c r="C2456" i="1"/>
  <c r="D2456" i="1"/>
  <c r="C2457" i="1"/>
  <c r="D2457" i="1"/>
  <c r="C2458" i="1"/>
  <c r="D2458" i="1"/>
  <c r="C2459" i="1"/>
  <c r="D2459" i="1"/>
  <c r="C2460" i="1"/>
  <c r="D2460" i="1"/>
  <c r="C2461" i="1"/>
  <c r="D2461" i="1"/>
  <c r="C2462" i="1"/>
  <c r="D2462" i="1"/>
  <c r="C2463" i="1"/>
  <c r="D2463" i="1"/>
  <c r="C2464" i="1"/>
  <c r="D2464" i="1"/>
  <c r="C2465" i="1"/>
  <c r="D2465" i="1"/>
  <c r="C2466" i="1"/>
  <c r="D2466" i="1"/>
  <c r="C2467" i="1"/>
  <c r="D2467" i="1"/>
  <c r="C2468" i="1"/>
  <c r="D2468" i="1"/>
  <c r="C2469" i="1"/>
  <c r="D2469" i="1"/>
  <c r="C2470" i="1"/>
  <c r="D2470" i="1"/>
  <c r="C2471" i="1"/>
  <c r="D2471" i="1"/>
  <c r="C2472" i="1"/>
  <c r="D2472" i="1"/>
  <c r="C2473" i="1"/>
  <c r="D2473" i="1"/>
  <c r="C2474" i="1"/>
  <c r="D2474" i="1"/>
  <c r="C2475" i="1"/>
  <c r="D2475" i="1"/>
  <c r="C2476" i="1"/>
  <c r="D2476" i="1"/>
  <c r="C2477" i="1"/>
  <c r="D2477" i="1"/>
  <c r="C2478" i="1"/>
  <c r="D2478" i="1"/>
  <c r="C2479" i="1"/>
  <c r="D2479" i="1"/>
  <c r="C2480" i="1"/>
  <c r="D2480" i="1"/>
  <c r="C2481" i="1"/>
  <c r="D2481" i="1"/>
  <c r="C2482" i="1"/>
  <c r="D2482" i="1"/>
  <c r="C2483" i="1"/>
  <c r="D2483" i="1"/>
  <c r="C2484" i="1"/>
  <c r="D2484" i="1"/>
  <c r="C2485" i="1"/>
  <c r="D2485" i="1"/>
  <c r="C2486" i="1"/>
  <c r="D2486" i="1"/>
  <c r="C2487" i="1"/>
  <c r="D2487" i="1"/>
  <c r="C2488" i="1"/>
  <c r="D2488" i="1"/>
  <c r="C2489" i="1"/>
  <c r="D2489" i="1"/>
  <c r="C2490" i="1"/>
  <c r="D2490" i="1"/>
  <c r="C2491" i="1"/>
  <c r="D2491" i="1"/>
  <c r="C2492" i="1"/>
  <c r="D2492" i="1"/>
  <c r="C2493" i="1"/>
  <c r="D2493" i="1"/>
  <c r="C2494" i="1"/>
  <c r="D2494" i="1"/>
  <c r="C2495" i="1"/>
  <c r="D2495" i="1"/>
  <c r="C2496" i="1"/>
  <c r="D2496" i="1"/>
  <c r="C2497" i="1"/>
  <c r="D2497" i="1"/>
  <c r="C2498" i="1"/>
  <c r="D2498" i="1"/>
  <c r="C2499" i="1"/>
  <c r="D2499" i="1"/>
  <c r="C2500" i="1"/>
  <c r="D2500" i="1"/>
  <c r="C2501" i="1"/>
  <c r="D2501" i="1"/>
  <c r="C2502" i="1"/>
  <c r="D2502" i="1"/>
  <c r="C2503" i="1"/>
  <c r="D2503" i="1"/>
  <c r="C2504" i="1"/>
  <c r="D2504" i="1"/>
  <c r="C2505" i="1"/>
  <c r="D2505" i="1"/>
  <c r="C2506" i="1"/>
  <c r="D2506" i="1"/>
  <c r="C2507" i="1"/>
  <c r="D2507" i="1"/>
  <c r="C2508" i="1"/>
  <c r="D2508" i="1"/>
  <c r="C2509" i="1"/>
  <c r="D2509" i="1"/>
  <c r="C2510" i="1"/>
  <c r="D2510" i="1"/>
  <c r="C2511" i="1"/>
  <c r="D2511" i="1"/>
  <c r="C2512" i="1"/>
  <c r="D2512" i="1"/>
  <c r="C2513" i="1"/>
  <c r="D2513" i="1"/>
  <c r="C2514" i="1"/>
  <c r="D2514" i="1"/>
  <c r="C2515" i="1"/>
  <c r="D2515" i="1"/>
  <c r="C2516" i="1"/>
  <c r="D2516" i="1"/>
  <c r="C2517" i="1"/>
  <c r="D2517" i="1"/>
  <c r="C2518" i="1"/>
  <c r="D2518" i="1"/>
  <c r="C2519" i="1"/>
  <c r="D2519" i="1"/>
  <c r="C2520" i="1"/>
  <c r="D2520" i="1"/>
  <c r="C2521" i="1"/>
  <c r="D2521" i="1"/>
  <c r="C2522" i="1"/>
  <c r="D2522" i="1"/>
  <c r="C2523" i="1"/>
  <c r="D2523" i="1"/>
  <c r="C2524" i="1"/>
  <c r="D2524" i="1"/>
  <c r="C2525" i="1"/>
  <c r="D2525" i="1"/>
  <c r="C2526" i="1"/>
  <c r="D2526" i="1"/>
  <c r="C2527" i="1"/>
  <c r="D2527" i="1"/>
  <c r="C2528" i="1"/>
  <c r="D2528" i="1"/>
  <c r="C2529" i="1"/>
  <c r="D2529" i="1"/>
  <c r="C2530" i="1"/>
  <c r="D2530" i="1"/>
  <c r="C2531" i="1"/>
  <c r="D2531" i="1"/>
  <c r="C2532" i="1"/>
  <c r="D2532" i="1"/>
  <c r="C2533" i="1"/>
  <c r="D2533" i="1"/>
  <c r="C2534" i="1"/>
  <c r="D2534" i="1"/>
  <c r="C2535" i="1"/>
  <c r="D2535" i="1"/>
  <c r="C2536" i="1"/>
  <c r="D2536" i="1"/>
  <c r="C2537" i="1"/>
  <c r="D2537" i="1"/>
  <c r="C2538" i="1"/>
  <c r="D2538" i="1"/>
  <c r="C2539" i="1"/>
  <c r="D2539" i="1"/>
  <c r="C2540" i="1"/>
  <c r="D2540" i="1"/>
  <c r="C2541" i="1"/>
  <c r="D2541" i="1"/>
  <c r="C2542" i="1"/>
  <c r="D2542" i="1"/>
  <c r="C2543" i="1"/>
  <c r="D2543" i="1"/>
  <c r="C2544" i="1"/>
  <c r="D2544" i="1"/>
  <c r="C2545" i="1"/>
  <c r="D2545" i="1"/>
  <c r="C2546" i="1"/>
  <c r="D2546" i="1"/>
  <c r="C2547" i="1"/>
  <c r="D2547" i="1"/>
  <c r="C2548" i="1"/>
  <c r="D2548" i="1"/>
  <c r="C2549" i="1"/>
  <c r="D2549" i="1"/>
  <c r="C2550" i="1"/>
  <c r="D2550" i="1"/>
  <c r="C2551" i="1"/>
  <c r="D2551" i="1"/>
  <c r="C2552" i="1"/>
  <c r="D2552" i="1"/>
  <c r="C2553" i="1"/>
  <c r="D2553" i="1"/>
  <c r="C2554" i="1"/>
  <c r="D2554" i="1"/>
  <c r="C2555" i="1"/>
  <c r="D2555" i="1"/>
  <c r="C2556" i="1"/>
  <c r="D2556" i="1"/>
  <c r="C2557" i="1"/>
  <c r="D2557" i="1"/>
  <c r="C2558" i="1"/>
  <c r="D2558" i="1"/>
  <c r="C2559" i="1"/>
  <c r="D2559" i="1"/>
  <c r="C2560" i="1"/>
  <c r="D2560" i="1"/>
  <c r="C2561" i="1"/>
  <c r="D2561" i="1"/>
  <c r="C2562" i="1"/>
  <c r="D2562" i="1"/>
  <c r="C2563" i="1"/>
  <c r="D2563" i="1"/>
  <c r="C2564" i="1"/>
  <c r="D2564" i="1"/>
  <c r="C2565" i="1"/>
  <c r="D2565" i="1"/>
  <c r="C2566" i="1"/>
  <c r="D2566" i="1"/>
  <c r="C2567" i="1"/>
  <c r="D2567" i="1"/>
  <c r="C2568" i="1"/>
  <c r="D2568" i="1"/>
  <c r="C2569" i="1"/>
  <c r="D2569" i="1"/>
  <c r="C2570" i="1"/>
  <c r="D2570" i="1"/>
  <c r="C2571" i="1"/>
  <c r="D2571" i="1"/>
  <c r="C2572" i="1"/>
  <c r="D2572" i="1"/>
  <c r="C2573" i="1"/>
  <c r="D2573" i="1"/>
  <c r="C2574" i="1"/>
  <c r="D2574" i="1"/>
  <c r="C2575" i="1"/>
  <c r="D2575" i="1"/>
  <c r="C2576" i="1"/>
  <c r="D2576" i="1"/>
  <c r="C2577" i="1"/>
  <c r="D2577" i="1"/>
  <c r="C2578" i="1"/>
  <c r="D2578" i="1"/>
  <c r="C2579" i="1"/>
  <c r="D2579" i="1"/>
  <c r="C2580" i="1"/>
  <c r="D2580" i="1"/>
  <c r="C2581" i="1"/>
  <c r="D2581" i="1"/>
  <c r="C2582" i="1"/>
  <c r="D2582" i="1"/>
  <c r="C2583" i="1"/>
  <c r="D2583" i="1"/>
  <c r="C2584" i="1"/>
  <c r="D2584" i="1"/>
  <c r="C2585" i="1"/>
  <c r="D2585" i="1"/>
  <c r="C2586" i="1"/>
  <c r="D2586" i="1"/>
  <c r="C2587" i="1"/>
  <c r="D2587" i="1"/>
  <c r="C2588" i="1"/>
  <c r="D2588" i="1"/>
  <c r="C2589" i="1"/>
  <c r="D2589" i="1"/>
  <c r="C2590" i="1"/>
  <c r="D2590" i="1"/>
  <c r="C2591" i="1"/>
  <c r="D2591" i="1"/>
  <c r="C2592" i="1"/>
  <c r="D2592" i="1"/>
  <c r="C2593" i="1"/>
  <c r="D2593" i="1"/>
  <c r="C2594" i="1"/>
  <c r="D2594" i="1"/>
  <c r="C2595" i="1"/>
  <c r="D2595" i="1"/>
  <c r="C2596" i="1"/>
  <c r="D2596" i="1"/>
  <c r="C2597" i="1"/>
  <c r="D2597" i="1"/>
  <c r="C2598" i="1"/>
  <c r="D2598" i="1"/>
  <c r="C2599" i="1"/>
  <c r="D2599" i="1"/>
  <c r="C2600" i="1"/>
  <c r="D2600" i="1"/>
  <c r="C2601" i="1"/>
  <c r="D2601" i="1"/>
  <c r="C2602" i="1"/>
  <c r="D2602" i="1"/>
  <c r="C2603" i="1"/>
  <c r="D2603" i="1"/>
  <c r="C2604" i="1"/>
  <c r="D2604" i="1"/>
  <c r="C2605" i="1"/>
  <c r="D2605" i="1"/>
  <c r="C2606" i="1"/>
  <c r="D2606" i="1"/>
  <c r="C2607" i="1"/>
  <c r="D2607" i="1"/>
  <c r="C2608" i="1"/>
  <c r="D2608" i="1"/>
  <c r="C2609" i="1"/>
  <c r="D2609" i="1"/>
  <c r="C2610" i="1"/>
  <c r="D2610" i="1"/>
  <c r="C2611" i="1"/>
  <c r="D2611" i="1"/>
  <c r="C2612" i="1"/>
  <c r="D2612" i="1"/>
  <c r="C2613" i="1"/>
  <c r="D2613" i="1"/>
  <c r="C2614" i="1"/>
  <c r="D2614" i="1"/>
  <c r="C2615" i="1"/>
  <c r="D2615" i="1"/>
  <c r="C2616" i="1"/>
  <c r="D2616" i="1"/>
  <c r="C2617" i="1"/>
  <c r="D2617" i="1"/>
  <c r="C2618" i="1"/>
  <c r="D2618" i="1"/>
  <c r="C2619" i="1"/>
  <c r="D2619" i="1"/>
  <c r="C2620" i="1"/>
  <c r="D2620" i="1"/>
  <c r="C2621" i="1"/>
  <c r="D2621" i="1"/>
  <c r="C2622" i="1"/>
  <c r="D2622" i="1"/>
  <c r="C2623" i="1"/>
  <c r="D2623" i="1"/>
  <c r="C2624" i="1"/>
  <c r="D2624" i="1"/>
  <c r="C2625" i="1"/>
  <c r="D2625" i="1"/>
  <c r="C2626" i="1"/>
  <c r="D2626" i="1"/>
  <c r="C2627" i="1"/>
  <c r="D2627" i="1"/>
  <c r="C2628" i="1"/>
  <c r="D2628" i="1"/>
  <c r="C2629" i="1"/>
  <c r="D2629" i="1"/>
  <c r="C2630" i="1"/>
  <c r="D2630" i="1"/>
  <c r="C2631" i="1"/>
  <c r="D2631" i="1"/>
  <c r="C2632" i="1"/>
  <c r="D2632" i="1"/>
  <c r="C2633" i="1"/>
  <c r="D2633" i="1"/>
  <c r="C2634" i="1"/>
  <c r="D2634" i="1"/>
  <c r="C2635" i="1"/>
  <c r="D2635" i="1"/>
  <c r="C2636" i="1"/>
  <c r="D2636" i="1"/>
  <c r="C2637" i="1"/>
  <c r="D2637" i="1"/>
  <c r="C2638" i="1"/>
  <c r="D2638" i="1"/>
  <c r="C2639" i="1"/>
  <c r="D2639" i="1"/>
  <c r="C2640" i="1"/>
  <c r="D2640" i="1"/>
  <c r="C2641" i="1"/>
  <c r="D2641" i="1"/>
  <c r="C2642" i="1"/>
  <c r="D2642" i="1"/>
  <c r="C2643" i="1"/>
  <c r="D2643" i="1"/>
  <c r="C2644" i="1"/>
  <c r="D2644" i="1"/>
  <c r="C2645" i="1"/>
  <c r="D2645" i="1"/>
  <c r="C2646" i="1"/>
  <c r="D2646" i="1"/>
  <c r="C2647" i="1"/>
  <c r="D2647" i="1"/>
  <c r="C2648" i="1"/>
  <c r="D2648" i="1"/>
  <c r="C2649" i="1"/>
  <c r="D2649" i="1"/>
  <c r="C2650" i="1"/>
  <c r="D2650" i="1"/>
  <c r="C2651" i="1"/>
  <c r="D2651" i="1"/>
  <c r="C2652" i="1"/>
  <c r="D2652" i="1"/>
  <c r="C2653" i="1"/>
  <c r="D2653" i="1"/>
  <c r="C2654" i="1"/>
  <c r="D2654" i="1"/>
  <c r="C2655" i="1"/>
  <c r="D2655" i="1"/>
  <c r="C2656" i="1"/>
  <c r="D2656" i="1"/>
  <c r="C2657" i="1"/>
  <c r="D2657" i="1"/>
  <c r="C2658" i="1"/>
  <c r="D2658" i="1"/>
  <c r="C2659" i="1"/>
  <c r="D2659" i="1"/>
  <c r="C2660" i="1"/>
  <c r="D2660" i="1"/>
  <c r="C2661" i="1"/>
  <c r="D2661" i="1"/>
  <c r="C2662" i="1"/>
  <c r="D2662" i="1"/>
  <c r="C2663" i="1"/>
  <c r="D2663" i="1"/>
  <c r="C2664" i="1"/>
  <c r="D2664" i="1"/>
  <c r="C2665" i="1"/>
  <c r="D2665" i="1"/>
  <c r="C2666" i="1"/>
  <c r="D2666" i="1"/>
  <c r="C2667" i="1"/>
  <c r="D2667" i="1"/>
  <c r="C2668" i="1"/>
  <c r="D2668" i="1"/>
  <c r="C2669" i="1"/>
  <c r="D2669" i="1"/>
  <c r="C2670" i="1"/>
  <c r="D2670" i="1"/>
  <c r="C2671" i="1"/>
  <c r="D2671" i="1"/>
  <c r="C2672" i="1"/>
  <c r="D2672" i="1"/>
  <c r="C2673" i="1"/>
  <c r="D2673" i="1"/>
  <c r="C2674" i="1"/>
  <c r="D2674" i="1"/>
  <c r="C2675" i="1"/>
  <c r="D2675" i="1"/>
  <c r="C2676" i="1"/>
  <c r="D2676" i="1"/>
  <c r="C2677" i="1"/>
  <c r="D2677" i="1"/>
  <c r="C2678" i="1"/>
  <c r="D2678" i="1"/>
  <c r="C2679" i="1"/>
  <c r="D2679" i="1"/>
  <c r="C2680" i="1"/>
  <c r="D2680" i="1"/>
  <c r="C2681" i="1"/>
  <c r="D2681" i="1"/>
  <c r="C2682" i="1"/>
  <c r="D2682" i="1"/>
  <c r="C2683" i="1"/>
  <c r="D2683" i="1"/>
  <c r="C2684" i="1"/>
  <c r="D2684" i="1"/>
  <c r="C2685" i="1"/>
  <c r="D2685" i="1"/>
  <c r="C2686" i="1"/>
  <c r="D2686" i="1"/>
  <c r="C2687" i="1"/>
  <c r="D2687" i="1"/>
  <c r="C2688" i="1"/>
  <c r="D2688" i="1"/>
  <c r="C2689" i="1"/>
  <c r="D2689" i="1"/>
  <c r="C2690" i="1"/>
  <c r="D2690" i="1"/>
  <c r="C2691" i="1"/>
  <c r="D2691" i="1"/>
  <c r="C2692" i="1"/>
  <c r="D2692" i="1"/>
  <c r="C2693" i="1"/>
  <c r="D2693" i="1"/>
  <c r="C2694" i="1"/>
  <c r="D2694" i="1"/>
  <c r="C2695" i="1"/>
  <c r="D2695" i="1"/>
  <c r="C2696" i="1"/>
  <c r="D2696" i="1"/>
  <c r="C2697" i="1"/>
  <c r="D2697" i="1"/>
  <c r="C2698" i="1"/>
  <c r="D2698" i="1"/>
  <c r="C2699" i="1"/>
  <c r="D2699" i="1"/>
  <c r="C2700" i="1"/>
  <c r="D2700" i="1"/>
  <c r="C2701" i="1"/>
  <c r="D2701" i="1"/>
  <c r="C2702" i="1"/>
  <c r="D2702" i="1"/>
  <c r="C2703" i="1"/>
  <c r="D2703" i="1"/>
  <c r="C2704" i="1"/>
  <c r="D2704" i="1"/>
  <c r="C2705" i="1"/>
  <c r="D2705" i="1"/>
  <c r="C2706" i="1"/>
  <c r="D2706" i="1"/>
  <c r="C2707" i="1"/>
  <c r="D2707" i="1"/>
  <c r="C2708" i="1"/>
  <c r="D2708" i="1"/>
  <c r="C2709" i="1"/>
  <c r="D2709" i="1"/>
  <c r="C2710" i="1"/>
  <c r="D2710" i="1"/>
  <c r="C2711" i="1"/>
  <c r="D2711" i="1"/>
  <c r="C2712" i="1"/>
  <c r="D2712" i="1"/>
  <c r="C2713" i="1"/>
  <c r="D2713" i="1"/>
  <c r="C2714" i="1"/>
  <c r="D2714" i="1"/>
  <c r="C2715" i="1"/>
  <c r="D2715" i="1"/>
  <c r="C2716" i="1"/>
  <c r="D2716" i="1"/>
  <c r="C2717" i="1"/>
  <c r="D2717" i="1"/>
  <c r="C2718" i="1"/>
  <c r="D2718" i="1"/>
  <c r="C2719" i="1"/>
  <c r="D2719" i="1"/>
  <c r="C2720" i="1"/>
  <c r="D2720" i="1"/>
  <c r="C2721" i="1"/>
  <c r="D2721" i="1"/>
  <c r="C2722" i="1"/>
  <c r="D2722" i="1"/>
  <c r="C2723" i="1"/>
  <c r="D2723" i="1"/>
  <c r="C2724" i="1"/>
  <c r="D2724" i="1"/>
  <c r="C2725" i="1"/>
  <c r="D2725" i="1"/>
  <c r="C2726" i="1"/>
  <c r="D2726" i="1"/>
  <c r="C2727" i="1"/>
  <c r="D2727" i="1"/>
  <c r="C2728" i="1"/>
  <c r="D2728" i="1"/>
  <c r="C2729" i="1"/>
  <c r="D2729" i="1"/>
  <c r="C2730" i="1"/>
  <c r="D2730" i="1"/>
  <c r="C2731" i="1"/>
  <c r="D2731" i="1"/>
  <c r="C2732" i="1"/>
  <c r="D2732" i="1"/>
  <c r="C2733" i="1"/>
  <c r="D2733" i="1"/>
  <c r="C2734" i="1"/>
  <c r="D2734" i="1"/>
  <c r="C2735" i="1"/>
  <c r="D2735" i="1"/>
  <c r="C2736" i="1"/>
  <c r="D2736" i="1"/>
  <c r="C2737" i="1"/>
  <c r="D2737" i="1"/>
  <c r="C2738" i="1"/>
  <c r="D2738" i="1"/>
  <c r="C2739" i="1"/>
  <c r="D2739" i="1"/>
  <c r="C2740" i="1"/>
  <c r="D2740" i="1"/>
  <c r="C2741" i="1"/>
  <c r="D2741" i="1"/>
  <c r="C2742" i="1"/>
  <c r="D2742" i="1"/>
  <c r="C2743" i="1"/>
  <c r="D2743" i="1"/>
  <c r="C2744" i="1"/>
  <c r="D2744" i="1"/>
  <c r="C2745" i="1"/>
  <c r="D2745" i="1"/>
  <c r="C2746" i="1"/>
  <c r="D2746" i="1"/>
  <c r="C2747" i="1"/>
  <c r="D2747" i="1"/>
  <c r="C2748" i="1"/>
  <c r="D2748" i="1"/>
  <c r="C2749" i="1"/>
  <c r="D2749" i="1"/>
  <c r="C2750" i="1"/>
  <c r="D2750" i="1"/>
  <c r="C2751" i="1"/>
  <c r="D2751" i="1"/>
  <c r="C2752" i="1"/>
  <c r="D2752" i="1"/>
  <c r="C2753" i="1"/>
  <c r="D2753" i="1"/>
  <c r="C2754" i="1"/>
  <c r="D2754" i="1"/>
  <c r="C2755" i="1"/>
  <c r="D2755" i="1"/>
  <c r="C2756" i="1"/>
  <c r="D2756" i="1"/>
  <c r="C2757" i="1"/>
  <c r="D2757" i="1"/>
  <c r="C2758" i="1"/>
  <c r="D2758" i="1"/>
  <c r="C2759" i="1"/>
  <c r="D2759" i="1"/>
  <c r="C2760" i="1"/>
  <c r="D2760" i="1"/>
  <c r="C2761" i="1"/>
  <c r="D2761" i="1"/>
  <c r="C2762" i="1"/>
  <c r="D2762" i="1"/>
  <c r="C2763" i="1"/>
  <c r="D2763" i="1"/>
  <c r="C2764" i="1"/>
  <c r="D2764" i="1"/>
  <c r="C2765" i="1"/>
  <c r="D2765" i="1"/>
  <c r="C2766" i="1"/>
  <c r="D2766" i="1"/>
  <c r="C2767" i="1"/>
  <c r="D2767" i="1"/>
  <c r="C2768" i="1"/>
  <c r="D2768" i="1"/>
  <c r="C2769" i="1"/>
  <c r="D2769" i="1"/>
  <c r="C2770" i="1"/>
  <c r="D2770" i="1"/>
  <c r="C2771" i="1"/>
  <c r="D2771" i="1"/>
  <c r="C2772" i="1"/>
  <c r="D2772" i="1"/>
  <c r="C2773" i="1"/>
  <c r="D2773" i="1"/>
  <c r="C2774" i="1"/>
  <c r="D2774" i="1"/>
  <c r="C2775" i="1"/>
  <c r="D2775" i="1"/>
  <c r="C2776" i="1"/>
  <c r="D2776" i="1"/>
  <c r="C2777" i="1"/>
  <c r="D2777" i="1"/>
  <c r="C2778" i="1"/>
  <c r="D2778" i="1"/>
  <c r="C2779" i="1"/>
  <c r="D2779" i="1"/>
  <c r="C2780" i="1"/>
  <c r="D2780" i="1"/>
  <c r="C2781" i="1"/>
  <c r="D2781" i="1"/>
  <c r="C2782" i="1"/>
  <c r="D2782" i="1"/>
  <c r="C2783" i="1"/>
  <c r="D2783" i="1"/>
  <c r="C2784" i="1"/>
  <c r="D2784" i="1"/>
  <c r="C2785" i="1"/>
  <c r="D2785" i="1"/>
  <c r="C2786" i="1"/>
  <c r="D2786" i="1"/>
  <c r="C2787" i="1"/>
  <c r="D2787" i="1"/>
  <c r="C2788" i="1"/>
  <c r="D2788" i="1"/>
  <c r="C2789" i="1"/>
  <c r="D2789" i="1"/>
  <c r="C2790" i="1"/>
  <c r="D2790" i="1"/>
  <c r="C2791" i="1"/>
  <c r="D2791" i="1"/>
  <c r="C2792" i="1"/>
  <c r="D2792" i="1"/>
  <c r="C2793" i="1"/>
  <c r="D2793" i="1"/>
  <c r="C2794" i="1"/>
  <c r="D2794" i="1"/>
  <c r="C2795" i="1"/>
  <c r="D2795" i="1"/>
  <c r="C2796" i="1"/>
  <c r="D2796" i="1"/>
  <c r="C2797" i="1"/>
  <c r="D2797" i="1"/>
  <c r="C2798" i="1"/>
  <c r="D2798" i="1"/>
  <c r="C2799" i="1"/>
  <c r="D2799" i="1"/>
  <c r="C2800" i="1"/>
  <c r="D2800" i="1"/>
  <c r="C2801" i="1"/>
  <c r="D2801" i="1"/>
  <c r="C2802" i="1"/>
  <c r="D2802" i="1"/>
  <c r="C2803" i="1"/>
  <c r="D2803" i="1"/>
  <c r="C2804" i="1"/>
  <c r="D2804" i="1"/>
  <c r="C2805" i="1"/>
  <c r="D2805" i="1"/>
  <c r="C2806" i="1"/>
  <c r="D2806" i="1"/>
  <c r="C2807" i="1"/>
  <c r="D2807" i="1"/>
  <c r="C2808" i="1"/>
  <c r="D2808" i="1"/>
  <c r="C2809" i="1"/>
  <c r="D2809" i="1"/>
  <c r="C2810" i="1"/>
  <c r="D2810" i="1"/>
  <c r="C2811" i="1"/>
  <c r="D2811" i="1"/>
  <c r="C2812" i="1"/>
  <c r="D2812" i="1"/>
  <c r="C2813" i="1"/>
  <c r="D2813" i="1"/>
  <c r="C2814" i="1"/>
  <c r="D2814" i="1"/>
  <c r="C2815" i="1"/>
  <c r="D2815" i="1"/>
  <c r="C2816" i="1"/>
  <c r="D2816" i="1"/>
  <c r="C2817" i="1"/>
  <c r="D2817" i="1"/>
  <c r="C2818" i="1"/>
  <c r="D2818" i="1"/>
  <c r="C2819" i="1"/>
  <c r="D2819" i="1"/>
  <c r="C2820" i="1"/>
  <c r="D2820" i="1"/>
  <c r="C2821" i="1"/>
  <c r="D2821" i="1"/>
  <c r="C2822" i="1"/>
  <c r="D2822" i="1"/>
  <c r="C2823" i="1"/>
  <c r="D2823" i="1"/>
  <c r="C2824" i="1"/>
  <c r="D2824" i="1"/>
  <c r="C2825" i="1"/>
  <c r="D2825" i="1"/>
  <c r="C2826" i="1"/>
  <c r="D2826" i="1"/>
  <c r="C2827" i="1"/>
  <c r="D2827" i="1"/>
  <c r="C2828" i="1"/>
  <c r="D2828" i="1"/>
  <c r="C2829" i="1"/>
  <c r="D2829" i="1"/>
  <c r="C2830" i="1"/>
  <c r="D2830" i="1"/>
  <c r="C2831" i="1"/>
  <c r="D2831" i="1"/>
  <c r="C2832" i="1"/>
  <c r="D2832" i="1"/>
  <c r="C2833" i="1"/>
  <c r="D2833" i="1"/>
  <c r="C2834" i="1"/>
  <c r="D2834" i="1"/>
  <c r="C2835" i="1"/>
  <c r="D2835" i="1"/>
  <c r="C2836" i="1"/>
  <c r="D2836" i="1"/>
  <c r="C2837" i="1"/>
  <c r="D2837" i="1"/>
  <c r="C2838" i="1"/>
  <c r="D2838" i="1"/>
  <c r="C2839" i="1"/>
  <c r="D2839" i="1"/>
  <c r="C2840" i="1"/>
  <c r="D2840" i="1"/>
  <c r="C2841" i="1"/>
  <c r="D2841" i="1"/>
  <c r="C2842" i="1"/>
  <c r="D2842" i="1"/>
  <c r="C2843" i="1"/>
  <c r="D2843" i="1"/>
  <c r="C2844" i="1"/>
  <c r="D2844" i="1"/>
  <c r="C2845" i="1"/>
  <c r="D2845" i="1"/>
  <c r="C2846" i="1"/>
  <c r="D2846" i="1"/>
  <c r="C2847" i="1"/>
  <c r="D2847" i="1"/>
  <c r="C2848" i="1"/>
  <c r="D2848" i="1"/>
  <c r="C2849" i="1"/>
  <c r="D2849" i="1"/>
  <c r="C2850" i="1"/>
  <c r="D2850" i="1"/>
  <c r="C2851" i="1"/>
  <c r="D2851" i="1"/>
  <c r="C2852" i="1"/>
  <c r="D2852" i="1"/>
  <c r="C2853" i="1"/>
  <c r="D2853" i="1"/>
  <c r="C2854" i="1"/>
  <c r="D2854" i="1"/>
  <c r="C2855" i="1"/>
  <c r="D2855" i="1"/>
  <c r="C2856" i="1"/>
  <c r="D2856" i="1"/>
  <c r="C2857" i="1"/>
  <c r="D2857" i="1"/>
  <c r="C2858" i="1"/>
  <c r="D2858" i="1"/>
  <c r="C2859" i="1"/>
  <c r="D2859" i="1"/>
  <c r="C2860" i="1"/>
  <c r="D2860" i="1"/>
  <c r="C2861" i="1"/>
  <c r="D2861" i="1"/>
  <c r="C2862" i="1"/>
  <c r="D2862" i="1"/>
  <c r="C2863" i="1"/>
  <c r="D2863" i="1"/>
  <c r="C2864" i="1"/>
  <c r="D2864" i="1"/>
  <c r="C2865" i="1"/>
  <c r="D2865" i="1"/>
  <c r="C2866" i="1"/>
  <c r="D2866" i="1"/>
  <c r="C2867" i="1"/>
  <c r="D2867" i="1"/>
  <c r="C2868" i="1"/>
  <c r="D2868" i="1"/>
  <c r="C2869" i="1"/>
  <c r="D2869" i="1"/>
  <c r="C2870" i="1"/>
  <c r="D2870" i="1"/>
  <c r="C2871" i="1"/>
  <c r="D2871" i="1"/>
  <c r="C2872" i="1"/>
  <c r="D2872" i="1"/>
  <c r="C2873" i="1"/>
  <c r="D2873" i="1"/>
  <c r="C2874" i="1"/>
  <c r="D2874" i="1"/>
  <c r="C2875" i="1"/>
  <c r="D2875" i="1"/>
  <c r="C2876" i="1"/>
  <c r="D2876" i="1"/>
  <c r="C2877" i="1"/>
  <c r="D2877" i="1"/>
  <c r="C2878" i="1"/>
  <c r="D2878" i="1"/>
  <c r="C2879" i="1"/>
  <c r="D2879" i="1"/>
  <c r="C2880" i="1"/>
  <c r="D2880" i="1"/>
  <c r="C2881" i="1"/>
  <c r="D2881" i="1"/>
  <c r="C2882" i="1"/>
  <c r="D2882" i="1"/>
  <c r="C2883" i="1"/>
  <c r="D2883" i="1"/>
  <c r="C2884" i="1"/>
  <c r="D2884" i="1"/>
  <c r="C2885" i="1"/>
  <c r="D2885" i="1"/>
  <c r="C2886" i="1"/>
  <c r="D2886" i="1"/>
  <c r="C2887" i="1"/>
  <c r="D2887" i="1"/>
  <c r="C2888" i="1"/>
  <c r="D2888" i="1"/>
  <c r="C2889" i="1"/>
  <c r="D2889" i="1"/>
  <c r="C2890" i="1"/>
  <c r="D2890" i="1"/>
  <c r="C2891" i="1"/>
  <c r="D2891" i="1"/>
  <c r="C2892" i="1"/>
  <c r="D2892" i="1"/>
  <c r="C2893" i="1"/>
  <c r="D2893" i="1"/>
  <c r="C2894" i="1"/>
  <c r="D2894" i="1"/>
  <c r="C2895" i="1"/>
  <c r="D2895" i="1"/>
  <c r="C2896" i="1"/>
  <c r="D2896" i="1"/>
  <c r="C2897" i="1"/>
  <c r="D2897" i="1"/>
  <c r="C2898" i="1"/>
  <c r="D2898" i="1"/>
  <c r="C2899" i="1"/>
  <c r="D2899" i="1"/>
  <c r="C2900" i="1"/>
  <c r="D2900" i="1"/>
  <c r="C2901" i="1"/>
  <c r="D2901" i="1"/>
  <c r="C2902" i="1"/>
  <c r="D2902" i="1"/>
  <c r="C2903" i="1"/>
  <c r="D2903" i="1"/>
  <c r="C2904" i="1"/>
  <c r="D2904" i="1"/>
  <c r="C2905" i="1"/>
  <c r="D2905" i="1"/>
  <c r="C2906" i="1"/>
  <c r="D2906" i="1"/>
  <c r="C2907" i="1"/>
  <c r="D2907" i="1"/>
  <c r="C2908" i="1"/>
  <c r="D2908" i="1"/>
  <c r="C2909" i="1"/>
  <c r="D2909" i="1"/>
  <c r="C2910" i="1"/>
  <c r="D2910" i="1"/>
  <c r="C2911" i="1"/>
  <c r="D2911" i="1"/>
  <c r="C2912" i="1"/>
  <c r="D2912" i="1"/>
  <c r="C2913" i="1"/>
  <c r="D2913" i="1"/>
  <c r="C2914" i="1"/>
  <c r="D2914" i="1"/>
  <c r="C2915" i="1"/>
  <c r="D2915" i="1"/>
  <c r="C2916" i="1"/>
  <c r="D2916" i="1"/>
  <c r="C2917" i="1"/>
  <c r="D2917" i="1"/>
  <c r="C2918" i="1"/>
  <c r="D2918" i="1"/>
  <c r="C2919" i="1"/>
  <c r="D2919" i="1"/>
  <c r="C2920" i="1"/>
  <c r="D2920" i="1"/>
  <c r="C2921" i="1"/>
  <c r="D2921" i="1"/>
  <c r="C2922" i="1"/>
  <c r="D2922" i="1"/>
  <c r="C2923" i="1"/>
  <c r="D2923" i="1"/>
  <c r="C2924" i="1"/>
  <c r="D2924" i="1"/>
  <c r="C2925" i="1"/>
  <c r="D2925" i="1"/>
  <c r="C2926" i="1"/>
  <c r="D2926" i="1"/>
  <c r="C2927" i="1"/>
  <c r="D2927" i="1"/>
  <c r="C2928" i="1"/>
  <c r="D2928" i="1"/>
  <c r="C2929" i="1"/>
  <c r="D2929" i="1"/>
  <c r="C2930" i="1"/>
  <c r="D2930" i="1"/>
  <c r="C2931" i="1"/>
  <c r="D2931" i="1"/>
  <c r="C2932" i="1"/>
  <c r="D2932" i="1"/>
  <c r="C2933" i="1"/>
  <c r="D2933" i="1"/>
  <c r="C2934" i="1"/>
  <c r="D2934" i="1"/>
  <c r="C2935" i="1"/>
  <c r="D2935" i="1"/>
  <c r="C2936" i="1"/>
  <c r="D2936" i="1"/>
  <c r="C2937" i="1"/>
  <c r="D2937" i="1"/>
  <c r="C2938" i="1"/>
  <c r="D2938" i="1"/>
  <c r="C2939" i="1"/>
  <c r="D2939" i="1"/>
  <c r="C2940" i="1"/>
  <c r="D2940" i="1"/>
  <c r="C2941" i="1"/>
  <c r="D2941" i="1"/>
  <c r="C2942" i="1"/>
  <c r="D2942" i="1"/>
  <c r="C2943" i="1"/>
  <c r="D2943" i="1"/>
  <c r="C2944" i="1"/>
  <c r="D2944" i="1"/>
  <c r="C2945" i="1"/>
  <c r="D2945" i="1"/>
  <c r="C2946" i="1"/>
  <c r="D2946" i="1"/>
  <c r="C2947" i="1"/>
  <c r="D2947" i="1"/>
  <c r="C2948" i="1"/>
  <c r="D2948" i="1"/>
  <c r="C2949" i="1"/>
  <c r="D2949" i="1"/>
  <c r="C2950" i="1"/>
  <c r="D2950" i="1"/>
  <c r="C2951" i="1"/>
  <c r="D2951" i="1"/>
  <c r="C2952" i="1"/>
  <c r="D2952" i="1"/>
  <c r="C2953" i="1"/>
  <c r="D2953" i="1"/>
  <c r="C2954" i="1"/>
  <c r="D2954" i="1"/>
  <c r="C2955" i="1"/>
  <c r="D2955" i="1"/>
  <c r="C2956" i="1"/>
  <c r="D2956" i="1"/>
  <c r="C2957" i="1"/>
  <c r="D2957" i="1"/>
  <c r="C2958" i="1"/>
  <c r="D2958" i="1"/>
  <c r="C2959" i="1"/>
  <c r="D2959" i="1"/>
  <c r="C2960" i="1"/>
  <c r="D2960" i="1"/>
  <c r="C2961" i="1"/>
  <c r="D2961" i="1"/>
  <c r="C2962" i="1"/>
  <c r="D2962" i="1"/>
  <c r="C2963" i="1"/>
  <c r="D2963" i="1"/>
  <c r="C2964" i="1"/>
  <c r="D2964" i="1"/>
  <c r="C2965" i="1"/>
  <c r="D2965" i="1"/>
  <c r="C2966" i="1"/>
  <c r="D2966" i="1"/>
  <c r="C2967" i="1"/>
  <c r="D2967" i="1"/>
  <c r="C2968" i="1"/>
  <c r="D2968" i="1"/>
  <c r="C2969" i="1"/>
  <c r="D2969" i="1"/>
  <c r="C2970" i="1"/>
  <c r="D2970" i="1"/>
  <c r="C2971" i="1"/>
  <c r="D2971" i="1"/>
  <c r="C2972" i="1"/>
  <c r="D2972" i="1"/>
  <c r="C2973" i="1"/>
  <c r="D2973" i="1"/>
  <c r="C2974" i="1"/>
  <c r="D2974" i="1"/>
  <c r="C2975" i="1"/>
  <c r="D2975" i="1"/>
  <c r="C2976" i="1"/>
  <c r="D2976" i="1"/>
  <c r="C2977" i="1"/>
  <c r="D2977" i="1"/>
  <c r="C2978" i="1"/>
  <c r="D2978" i="1"/>
  <c r="C2979" i="1"/>
  <c r="D2979" i="1"/>
  <c r="C2980" i="1"/>
  <c r="D2980" i="1"/>
  <c r="C2981" i="1"/>
  <c r="D2981" i="1"/>
  <c r="C2982" i="1"/>
  <c r="D2982" i="1"/>
  <c r="C2983" i="1"/>
  <c r="D2983" i="1"/>
  <c r="C2984" i="1"/>
  <c r="D2984" i="1"/>
  <c r="C2985" i="1"/>
  <c r="D2985" i="1"/>
  <c r="C2986" i="1"/>
  <c r="D2986" i="1"/>
  <c r="C2987" i="1"/>
  <c r="D2987" i="1"/>
  <c r="C2988" i="1"/>
  <c r="D2988" i="1"/>
  <c r="C2989" i="1"/>
  <c r="D2989" i="1"/>
  <c r="C2990" i="1"/>
  <c r="D2990" i="1"/>
  <c r="C2991" i="1"/>
  <c r="D2991" i="1"/>
  <c r="C2992" i="1"/>
  <c r="D2992" i="1"/>
  <c r="C2993" i="1"/>
  <c r="D2993" i="1"/>
  <c r="C2994" i="1"/>
  <c r="D2994" i="1"/>
  <c r="C2995" i="1"/>
  <c r="D2995" i="1"/>
  <c r="C2996" i="1"/>
  <c r="D2996" i="1"/>
  <c r="C2997" i="1"/>
  <c r="D2997" i="1"/>
  <c r="C2998" i="1"/>
  <c r="D2998" i="1"/>
  <c r="C2999" i="1"/>
  <c r="D2999" i="1"/>
  <c r="C3000" i="1"/>
  <c r="D3000" i="1"/>
  <c r="C3001" i="1"/>
  <c r="D3001" i="1"/>
  <c r="C3002" i="1"/>
  <c r="D3002" i="1"/>
  <c r="C3003" i="1"/>
  <c r="D3003" i="1"/>
  <c r="C3004" i="1"/>
  <c r="D3004" i="1"/>
  <c r="C3005" i="1"/>
  <c r="D3005" i="1"/>
  <c r="C3006" i="1"/>
  <c r="D3006" i="1"/>
  <c r="C3007" i="1"/>
  <c r="D3007" i="1"/>
  <c r="C3008" i="1"/>
  <c r="D3008" i="1"/>
  <c r="C3009" i="1"/>
  <c r="D3009" i="1"/>
  <c r="C3010" i="1"/>
  <c r="D3010" i="1"/>
  <c r="C3011" i="1"/>
  <c r="D3011" i="1"/>
  <c r="C3012" i="1"/>
  <c r="D3012" i="1"/>
  <c r="C3013" i="1"/>
  <c r="D3013" i="1"/>
  <c r="C3014" i="1"/>
  <c r="D3014" i="1"/>
  <c r="C3015" i="1"/>
  <c r="D3015" i="1"/>
  <c r="C3016" i="1"/>
  <c r="D3016" i="1"/>
  <c r="C3017" i="1"/>
  <c r="D3017" i="1"/>
  <c r="C3018" i="1"/>
  <c r="D3018" i="1"/>
  <c r="C3019" i="1"/>
  <c r="D3019" i="1"/>
  <c r="C3020" i="1"/>
  <c r="D3020" i="1"/>
  <c r="C3021" i="1"/>
  <c r="D3021" i="1"/>
  <c r="C3022" i="1"/>
  <c r="D3022" i="1"/>
  <c r="C3023" i="1"/>
  <c r="D3023" i="1"/>
  <c r="C3024" i="1"/>
  <c r="D3024" i="1"/>
  <c r="C3025" i="1"/>
  <c r="D3025" i="1"/>
  <c r="C3026" i="1"/>
  <c r="D3026" i="1"/>
  <c r="C3027" i="1"/>
  <c r="D3027" i="1"/>
  <c r="C3028" i="1"/>
  <c r="D3028" i="1"/>
  <c r="C3029" i="1"/>
  <c r="D3029" i="1"/>
  <c r="C3030" i="1"/>
  <c r="D3030" i="1"/>
  <c r="C3031" i="1"/>
  <c r="D3031" i="1"/>
  <c r="C3032" i="1"/>
  <c r="D3032" i="1"/>
  <c r="C3033" i="1"/>
  <c r="D3033" i="1"/>
  <c r="C3034" i="1"/>
  <c r="D3034" i="1"/>
  <c r="C3035" i="1"/>
  <c r="D3035" i="1"/>
  <c r="C3036" i="1"/>
  <c r="D3036" i="1"/>
  <c r="C3037" i="1"/>
  <c r="D3037" i="1"/>
  <c r="C3038" i="1"/>
  <c r="D3038" i="1"/>
  <c r="C3039" i="1"/>
  <c r="D3039" i="1"/>
  <c r="C3040" i="1"/>
  <c r="D3040" i="1"/>
  <c r="C3041" i="1"/>
  <c r="D3041" i="1"/>
  <c r="C3042" i="1"/>
  <c r="D3042" i="1"/>
  <c r="C3043" i="1"/>
  <c r="D3043" i="1"/>
  <c r="C3044" i="1"/>
  <c r="D3044" i="1"/>
  <c r="C3045" i="1"/>
  <c r="D3045" i="1"/>
  <c r="C3046" i="1"/>
  <c r="D3046" i="1"/>
  <c r="C3047" i="1"/>
  <c r="D3047" i="1"/>
  <c r="C3048" i="1"/>
  <c r="D3048" i="1"/>
  <c r="C3049" i="1"/>
  <c r="D3049" i="1"/>
  <c r="C3050" i="1"/>
  <c r="D3050" i="1"/>
  <c r="C3051" i="1"/>
  <c r="D3051" i="1"/>
  <c r="C3052" i="1"/>
  <c r="D3052" i="1"/>
  <c r="C3053" i="1"/>
  <c r="D3053" i="1"/>
  <c r="C3054" i="1"/>
  <c r="D3054" i="1"/>
  <c r="C3055" i="1"/>
  <c r="D3055" i="1"/>
  <c r="C3056" i="1"/>
  <c r="D3056" i="1"/>
  <c r="C3057" i="1"/>
  <c r="D3057" i="1"/>
  <c r="C3058" i="1"/>
  <c r="D3058" i="1"/>
  <c r="C3059" i="1"/>
  <c r="D3059" i="1"/>
  <c r="C3060" i="1"/>
  <c r="D3060" i="1"/>
  <c r="C3061" i="1"/>
  <c r="D3061" i="1"/>
  <c r="C3062" i="1"/>
  <c r="D3062" i="1"/>
  <c r="C3063" i="1"/>
  <c r="D3063" i="1"/>
  <c r="C3064" i="1"/>
  <c r="D3064" i="1"/>
  <c r="C3065" i="1"/>
  <c r="D3065" i="1"/>
  <c r="C3066" i="1"/>
  <c r="D3066" i="1"/>
  <c r="C3067" i="1"/>
  <c r="D3067" i="1"/>
  <c r="C3068" i="1"/>
  <c r="D3068" i="1"/>
  <c r="C3069" i="1"/>
  <c r="D3069" i="1"/>
  <c r="C3070" i="1"/>
  <c r="D3070" i="1"/>
  <c r="C3071" i="1"/>
  <c r="D3071" i="1"/>
  <c r="C3072" i="1"/>
  <c r="D3072" i="1"/>
  <c r="C3073" i="1"/>
  <c r="D3073" i="1"/>
  <c r="C3074" i="1"/>
  <c r="D3074" i="1"/>
  <c r="C3075" i="1"/>
  <c r="D3075" i="1"/>
  <c r="C3076" i="1"/>
  <c r="D3076" i="1"/>
  <c r="C3077" i="1"/>
  <c r="D3077" i="1"/>
  <c r="C3078" i="1"/>
  <c r="D3078" i="1"/>
  <c r="C3079" i="1"/>
  <c r="D3079" i="1"/>
  <c r="C3080" i="1"/>
  <c r="D3080" i="1"/>
  <c r="C3081" i="1"/>
  <c r="D3081" i="1"/>
  <c r="C3082" i="1"/>
  <c r="D3082" i="1"/>
  <c r="C3083" i="1"/>
  <c r="D3083" i="1"/>
  <c r="C3084" i="1"/>
  <c r="D3084" i="1"/>
  <c r="C3085" i="1"/>
  <c r="D3085" i="1"/>
  <c r="C3086" i="1"/>
  <c r="D3086" i="1"/>
  <c r="C3087" i="1"/>
  <c r="D3087" i="1"/>
  <c r="C3088" i="1"/>
  <c r="D3088" i="1"/>
  <c r="C3089" i="1"/>
  <c r="D3089" i="1"/>
  <c r="C3090" i="1"/>
  <c r="D3090" i="1"/>
  <c r="C3091" i="1"/>
  <c r="D3091" i="1"/>
  <c r="C3092" i="1"/>
  <c r="D3092" i="1"/>
  <c r="C3093" i="1"/>
  <c r="D3093" i="1"/>
  <c r="C3094" i="1"/>
  <c r="D3094" i="1"/>
  <c r="C3095" i="1"/>
  <c r="D3095" i="1"/>
  <c r="C3096" i="1"/>
  <c r="D3096" i="1"/>
  <c r="C3097" i="1"/>
  <c r="D3097" i="1"/>
  <c r="C3098" i="1"/>
  <c r="D3098" i="1"/>
  <c r="C3099" i="1"/>
  <c r="D3099" i="1"/>
  <c r="C3100" i="1"/>
  <c r="D3100" i="1"/>
  <c r="C3101" i="1"/>
  <c r="D3101" i="1"/>
  <c r="C3102" i="1"/>
  <c r="D3102" i="1"/>
  <c r="C3103" i="1"/>
  <c r="D3103" i="1"/>
  <c r="C3104" i="1"/>
  <c r="D3104" i="1"/>
  <c r="C3105" i="1"/>
  <c r="D3105" i="1"/>
  <c r="C3106" i="1"/>
  <c r="D3106" i="1"/>
  <c r="C3107" i="1"/>
  <c r="D3107" i="1"/>
  <c r="C3108" i="1"/>
  <c r="D3108" i="1"/>
  <c r="C3109" i="1"/>
  <c r="D3109" i="1"/>
  <c r="C3110" i="1"/>
  <c r="D3110" i="1"/>
  <c r="C3111" i="1"/>
  <c r="D3111" i="1"/>
  <c r="C3112" i="1"/>
  <c r="D3112" i="1"/>
  <c r="C3113" i="1"/>
  <c r="D3113" i="1"/>
  <c r="C3114" i="1"/>
  <c r="D3114" i="1"/>
  <c r="C3115" i="1"/>
  <c r="D3115" i="1"/>
  <c r="C3116" i="1"/>
  <c r="D3116" i="1"/>
  <c r="C3117" i="1"/>
  <c r="D3117" i="1"/>
  <c r="C3118" i="1"/>
  <c r="D3118" i="1"/>
  <c r="C3119" i="1"/>
  <c r="D3119" i="1"/>
  <c r="C3120" i="1"/>
  <c r="D3120" i="1"/>
  <c r="C3121" i="1"/>
  <c r="D3121" i="1"/>
  <c r="C3122" i="1"/>
  <c r="D3122" i="1"/>
  <c r="C3123" i="1"/>
  <c r="D3123" i="1"/>
  <c r="C3124" i="1"/>
  <c r="D3124" i="1"/>
  <c r="C3125" i="1"/>
  <c r="D3125" i="1"/>
  <c r="C3126" i="1"/>
  <c r="D3126" i="1"/>
  <c r="C3127" i="1"/>
  <c r="D3127" i="1"/>
  <c r="C3128" i="1"/>
  <c r="D3128" i="1"/>
  <c r="C3129" i="1"/>
  <c r="D3129" i="1"/>
  <c r="C3130" i="1"/>
  <c r="D3130" i="1"/>
  <c r="C3131" i="1"/>
  <c r="D3131" i="1"/>
  <c r="C3132" i="1"/>
  <c r="D3132" i="1"/>
  <c r="C3133" i="1"/>
  <c r="D3133" i="1"/>
  <c r="C3134" i="1"/>
  <c r="D3134" i="1"/>
  <c r="C3135" i="1"/>
  <c r="D3135" i="1"/>
  <c r="C3136" i="1"/>
  <c r="D3136" i="1"/>
  <c r="C3137" i="1"/>
  <c r="D3137" i="1"/>
  <c r="C3138" i="1"/>
  <c r="D3138" i="1"/>
  <c r="C3139" i="1"/>
  <c r="D3139" i="1"/>
  <c r="C3140" i="1"/>
  <c r="D3140" i="1"/>
  <c r="C3141" i="1"/>
  <c r="D3141" i="1"/>
  <c r="C3142" i="1"/>
  <c r="D3142" i="1"/>
  <c r="C3143" i="1"/>
  <c r="D3143" i="1"/>
  <c r="C3144" i="1"/>
  <c r="D3144" i="1"/>
  <c r="C3145" i="1"/>
  <c r="D3145" i="1"/>
  <c r="C3146" i="1"/>
  <c r="D3146" i="1"/>
  <c r="C3147" i="1"/>
  <c r="D3147" i="1"/>
  <c r="C3148" i="1"/>
  <c r="D3148" i="1"/>
  <c r="C3149" i="1"/>
  <c r="D3149" i="1"/>
  <c r="C3150" i="1"/>
  <c r="D3150" i="1"/>
  <c r="C3151" i="1"/>
  <c r="D3151" i="1"/>
  <c r="C3152" i="1"/>
  <c r="D3152" i="1"/>
  <c r="C3153" i="1"/>
  <c r="D3153" i="1"/>
  <c r="C3154" i="1"/>
  <c r="D3154" i="1"/>
  <c r="C3155" i="1"/>
  <c r="D3155" i="1"/>
  <c r="C3156" i="1"/>
  <c r="D3156" i="1"/>
  <c r="C3157" i="1"/>
  <c r="D3157" i="1"/>
  <c r="C3158" i="1"/>
  <c r="D3158" i="1"/>
  <c r="C3159" i="1"/>
  <c r="D3159" i="1"/>
  <c r="C3160" i="1"/>
  <c r="D3160" i="1"/>
  <c r="C3161" i="1"/>
  <c r="D3161" i="1"/>
  <c r="C3162" i="1"/>
  <c r="D3162" i="1"/>
  <c r="C3163" i="1"/>
  <c r="D3163" i="1"/>
  <c r="C3164" i="1"/>
  <c r="D3164" i="1"/>
  <c r="C3165" i="1"/>
  <c r="D3165" i="1"/>
  <c r="C3166" i="1"/>
  <c r="D3166" i="1"/>
  <c r="C3167" i="1"/>
  <c r="D3167" i="1"/>
  <c r="C3168" i="1"/>
  <c r="D3168" i="1"/>
  <c r="C3169" i="1"/>
  <c r="D3169" i="1"/>
  <c r="C3170" i="1"/>
  <c r="D3170" i="1"/>
  <c r="C3171" i="1"/>
  <c r="D3171" i="1"/>
  <c r="C3172" i="1"/>
  <c r="D3172" i="1"/>
  <c r="C3173" i="1"/>
  <c r="D3173" i="1"/>
  <c r="C3174" i="1"/>
  <c r="D3174" i="1"/>
  <c r="C3175" i="1"/>
  <c r="D3175" i="1"/>
  <c r="C3176" i="1"/>
  <c r="D3176" i="1"/>
  <c r="C3177" i="1"/>
  <c r="D3177" i="1"/>
  <c r="C3178" i="1"/>
  <c r="D3178" i="1"/>
  <c r="C3179" i="1"/>
  <c r="D3179" i="1"/>
  <c r="C3180" i="1"/>
  <c r="D3180" i="1"/>
  <c r="C3181" i="1"/>
  <c r="D3181" i="1"/>
  <c r="C3182" i="1"/>
  <c r="D3182" i="1"/>
  <c r="C3183" i="1"/>
  <c r="D3183" i="1"/>
  <c r="C3184" i="1"/>
  <c r="D3184" i="1"/>
  <c r="C3185" i="1"/>
  <c r="D3185" i="1"/>
  <c r="C3186" i="1"/>
  <c r="D3186" i="1"/>
  <c r="C3187" i="1"/>
  <c r="D3187" i="1"/>
  <c r="C3188" i="1"/>
  <c r="D3188" i="1"/>
  <c r="C3189" i="1"/>
  <c r="D3189" i="1"/>
  <c r="C3190" i="1"/>
  <c r="D3190" i="1"/>
  <c r="C3191" i="1"/>
  <c r="D3191" i="1"/>
  <c r="C3192" i="1"/>
  <c r="D3192" i="1"/>
  <c r="C3193" i="1"/>
  <c r="D3193" i="1"/>
  <c r="C3194" i="1"/>
  <c r="D3194" i="1"/>
  <c r="C3195" i="1"/>
  <c r="D3195" i="1"/>
  <c r="C3196" i="1"/>
  <c r="D3196" i="1"/>
  <c r="C3197" i="1"/>
  <c r="D3197" i="1"/>
  <c r="C3198" i="1"/>
  <c r="D3198" i="1"/>
  <c r="C3199" i="1"/>
  <c r="D3199" i="1"/>
  <c r="C3200" i="1"/>
  <c r="D3200" i="1"/>
  <c r="C3201" i="1"/>
  <c r="D3201" i="1"/>
  <c r="C3202" i="1"/>
  <c r="D3202" i="1"/>
  <c r="C3203" i="1"/>
  <c r="D3203" i="1"/>
  <c r="C3204" i="1"/>
  <c r="D3204" i="1"/>
  <c r="C3205" i="1"/>
  <c r="D3205" i="1"/>
  <c r="C3206" i="1"/>
  <c r="D3206" i="1"/>
  <c r="C3207" i="1"/>
  <c r="D3207" i="1"/>
  <c r="C3208" i="1"/>
  <c r="D3208" i="1"/>
  <c r="C3209" i="1"/>
  <c r="D3209" i="1"/>
  <c r="C3210" i="1"/>
  <c r="D3210" i="1"/>
  <c r="C3211" i="1"/>
  <c r="D3211" i="1"/>
  <c r="C3212" i="1"/>
  <c r="D3212" i="1"/>
  <c r="C3213" i="1"/>
  <c r="D3213" i="1"/>
  <c r="C3214" i="1"/>
  <c r="D3214" i="1"/>
  <c r="C3215" i="1"/>
  <c r="D3215" i="1"/>
  <c r="C3216" i="1"/>
  <c r="D3216" i="1"/>
  <c r="C3217" i="1"/>
  <c r="D3217" i="1"/>
  <c r="C3218" i="1"/>
  <c r="D3218" i="1"/>
  <c r="C3219" i="1"/>
  <c r="D3219" i="1"/>
  <c r="C3220" i="1"/>
  <c r="D3220" i="1"/>
  <c r="C3221" i="1"/>
  <c r="D3221" i="1"/>
  <c r="C3222" i="1"/>
  <c r="D3222" i="1"/>
  <c r="C3223" i="1"/>
  <c r="D3223" i="1"/>
  <c r="C3224" i="1"/>
  <c r="D3224" i="1"/>
  <c r="C3225" i="1"/>
  <c r="D3225" i="1"/>
  <c r="C3226" i="1"/>
  <c r="D3226" i="1"/>
  <c r="C3227" i="1"/>
  <c r="D3227" i="1"/>
  <c r="C3228" i="1"/>
  <c r="D3228" i="1"/>
  <c r="C3229" i="1"/>
  <c r="D3229" i="1"/>
  <c r="C3230" i="1"/>
  <c r="D3230" i="1"/>
  <c r="C3231" i="1"/>
  <c r="D3231" i="1"/>
  <c r="C3232" i="1"/>
  <c r="D3232" i="1"/>
  <c r="C3233" i="1"/>
  <c r="D3233" i="1"/>
  <c r="C3234" i="1"/>
  <c r="D3234" i="1"/>
  <c r="C3235" i="1"/>
  <c r="D3235" i="1"/>
  <c r="C3236" i="1"/>
  <c r="D3236" i="1"/>
  <c r="C3237" i="1"/>
  <c r="D3237" i="1"/>
  <c r="C3238" i="1"/>
  <c r="D3238" i="1"/>
  <c r="C3239" i="1"/>
  <c r="D3239" i="1"/>
  <c r="C3240" i="1"/>
  <c r="D3240" i="1"/>
  <c r="C3241" i="1"/>
  <c r="D3241" i="1"/>
  <c r="C3242" i="1"/>
  <c r="D3242" i="1"/>
  <c r="C3243" i="1"/>
  <c r="D3243" i="1"/>
  <c r="C3244" i="1"/>
  <c r="D3244" i="1"/>
  <c r="C3245" i="1"/>
  <c r="D3245" i="1"/>
  <c r="C3246" i="1"/>
  <c r="D3246" i="1"/>
  <c r="C3247" i="1"/>
  <c r="D3247" i="1"/>
  <c r="C3248" i="1"/>
  <c r="D3248" i="1"/>
  <c r="C3249" i="1"/>
  <c r="D3249" i="1"/>
  <c r="C3250" i="1"/>
  <c r="D3250" i="1"/>
  <c r="C3251" i="1"/>
  <c r="D3251" i="1"/>
  <c r="C3252" i="1"/>
  <c r="D3252" i="1"/>
  <c r="C3253" i="1"/>
  <c r="D3253" i="1"/>
  <c r="C3254" i="1"/>
  <c r="D3254" i="1"/>
  <c r="C3255" i="1"/>
  <c r="D3255" i="1"/>
  <c r="C3256" i="1"/>
  <c r="D3256" i="1"/>
  <c r="C3257" i="1"/>
  <c r="D3257" i="1"/>
  <c r="C3258" i="1"/>
  <c r="D3258" i="1"/>
  <c r="C3259" i="1"/>
  <c r="D3259" i="1"/>
  <c r="C3260" i="1"/>
  <c r="D3260" i="1"/>
  <c r="C3261" i="1"/>
  <c r="D3261" i="1"/>
  <c r="C3262" i="1"/>
  <c r="D3262" i="1"/>
  <c r="C3263" i="1"/>
  <c r="D3263" i="1"/>
  <c r="C3264" i="1"/>
  <c r="D3264" i="1"/>
  <c r="C3265" i="1"/>
  <c r="D3265" i="1"/>
  <c r="C3266" i="1"/>
  <c r="D3266" i="1"/>
  <c r="C3267" i="1"/>
  <c r="D3267" i="1"/>
  <c r="C3268" i="1"/>
  <c r="D3268" i="1"/>
  <c r="C3269" i="1"/>
  <c r="D3269" i="1"/>
  <c r="C3270" i="1"/>
  <c r="D3270" i="1"/>
  <c r="C3271" i="1"/>
  <c r="D3271" i="1"/>
  <c r="C3272" i="1"/>
  <c r="D3272" i="1"/>
  <c r="C3273" i="1"/>
  <c r="D3273" i="1"/>
  <c r="C3274" i="1"/>
  <c r="D3274" i="1"/>
  <c r="C3275" i="1"/>
  <c r="D3275" i="1"/>
  <c r="C3276" i="1"/>
  <c r="D3276" i="1"/>
  <c r="C3277" i="1"/>
  <c r="D3277" i="1"/>
  <c r="C3278" i="1"/>
  <c r="D3278" i="1"/>
  <c r="C3279" i="1"/>
  <c r="D3279" i="1"/>
  <c r="C3280" i="1"/>
  <c r="D3280" i="1"/>
  <c r="C3281" i="1"/>
  <c r="D3281" i="1"/>
  <c r="C3282" i="1"/>
  <c r="D3282" i="1"/>
  <c r="C3283" i="1"/>
  <c r="D3283" i="1"/>
  <c r="C3284" i="1"/>
  <c r="D3284" i="1"/>
  <c r="C3285" i="1"/>
  <c r="D3285" i="1"/>
  <c r="C3286" i="1"/>
  <c r="D3286" i="1"/>
  <c r="C3287" i="1"/>
  <c r="D3287" i="1"/>
  <c r="C3288" i="1"/>
  <c r="D3288" i="1"/>
  <c r="C3289" i="1"/>
  <c r="D3289" i="1"/>
  <c r="C3290" i="1"/>
  <c r="D3290" i="1"/>
  <c r="C3291" i="1"/>
  <c r="D3291" i="1"/>
  <c r="C3292" i="1"/>
  <c r="D3292" i="1"/>
  <c r="C3293" i="1"/>
  <c r="D3293" i="1"/>
  <c r="C3294" i="1"/>
  <c r="D3294" i="1"/>
  <c r="C3295" i="1"/>
  <c r="D3295" i="1"/>
  <c r="C3296" i="1"/>
  <c r="D3296" i="1"/>
  <c r="C3297" i="1"/>
  <c r="D3297" i="1"/>
  <c r="C3298" i="1"/>
  <c r="D3298" i="1"/>
  <c r="C3299" i="1"/>
  <c r="D3299" i="1"/>
  <c r="C3300" i="1"/>
  <c r="D3300" i="1"/>
  <c r="C3301" i="1"/>
  <c r="D3301" i="1"/>
  <c r="C3302" i="1"/>
  <c r="D3302" i="1"/>
  <c r="C3303" i="1"/>
  <c r="D3303" i="1"/>
  <c r="C3304" i="1"/>
  <c r="D3304" i="1"/>
  <c r="C3305" i="1"/>
  <c r="D3305" i="1"/>
  <c r="C3306" i="1"/>
  <c r="D3306" i="1"/>
  <c r="C3307" i="1"/>
  <c r="D3307" i="1"/>
  <c r="C3308" i="1"/>
  <c r="D3308" i="1"/>
  <c r="C3309" i="1"/>
  <c r="D3309" i="1"/>
  <c r="C3310" i="1"/>
  <c r="D3310" i="1"/>
  <c r="C3311" i="1"/>
  <c r="D3311" i="1"/>
  <c r="C3312" i="1"/>
  <c r="D3312" i="1"/>
  <c r="C3313" i="1"/>
  <c r="D3313" i="1"/>
  <c r="C3314" i="1"/>
  <c r="D3314" i="1"/>
  <c r="C3315" i="1"/>
  <c r="D3315" i="1"/>
  <c r="C3316" i="1"/>
  <c r="D3316" i="1"/>
  <c r="C3317" i="1"/>
  <c r="D3317" i="1"/>
  <c r="C3318" i="1"/>
  <c r="D3318" i="1"/>
  <c r="C3319" i="1"/>
  <c r="D3319" i="1"/>
  <c r="C3320" i="1"/>
  <c r="D3320" i="1"/>
  <c r="C3321" i="1"/>
  <c r="D3321" i="1"/>
  <c r="C3322" i="1"/>
  <c r="D3322" i="1"/>
  <c r="C3323" i="1"/>
  <c r="D3323" i="1"/>
  <c r="C3324" i="1"/>
  <c r="D3324" i="1"/>
  <c r="C3325" i="1"/>
  <c r="D3325" i="1"/>
  <c r="C3326" i="1"/>
  <c r="D3326" i="1"/>
  <c r="C3327" i="1"/>
  <c r="D3327" i="1"/>
  <c r="C3328" i="1"/>
  <c r="D3328" i="1"/>
  <c r="C3329" i="1"/>
  <c r="D3329" i="1"/>
  <c r="C3330" i="1"/>
  <c r="D3330" i="1"/>
  <c r="C3331" i="1"/>
  <c r="D3331" i="1"/>
  <c r="C3332" i="1"/>
  <c r="D3332" i="1"/>
  <c r="C3333" i="1"/>
  <c r="D3333" i="1"/>
  <c r="C3334" i="1"/>
  <c r="D3334" i="1"/>
  <c r="C3335" i="1"/>
  <c r="D3335" i="1"/>
  <c r="C3336" i="1"/>
  <c r="D3336" i="1"/>
  <c r="C3337" i="1"/>
  <c r="D3337" i="1"/>
  <c r="C3338" i="1"/>
  <c r="D3338" i="1"/>
  <c r="C3339" i="1"/>
  <c r="D3339" i="1"/>
  <c r="C3340" i="1"/>
  <c r="D3340" i="1"/>
  <c r="C3341" i="1"/>
  <c r="D3341" i="1"/>
  <c r="C3342" i="1"/>
  <c r="D3342" i="1"/>
  <c r="C3343" i="1"/>
  <c r="D3343" i="1"/>
  <c r="C3344" i="1"/>
  <c r="D3344" i="1"/>
  <c r="C3345" i="1"/>
  <c r="D3345" i="1"/>
  <c r="C3346" i="1"/>
  <c r="D3346" i="1"/>
  <c r="C3347" i="1"/>
  <c r="D3347" i="1"/>
  <c r="C3348" i="1"/>
  <c r="D3348" i="1"/>
  <c r="C3349" i="1"/>
  <c r="D3349" i="1"/>
  <c r="C3350" i="1"/>
  <c r="D3350" i="1"/>
  <c r="C3351" i="1"/>
  <c r="D3351" i="1"/>
  <c r="C3352" i="1"/>
  <c r="D3352" i="1"/>
  <c r="C3353" i="1"/>
  <c r="D3353" i="1"/>
  <c r="C3354" i="1"/>
  <c r="D3354" i="1"/>
  <c r="C3355" i="1"/>
  <c r="D3355" i="1"/>
  <c r="C3356" i="1"/>
  <c r="D3356" i="1"/>
  <c r="C3357" i="1"/>
  <c r="D3357" i="1"/>
  <c r="C3358" i="1"/>
  <c r="D3358" i="1"/>
  <c r="C3359" i="1"/>
  <c r="D3359" i="1"/>
  <c r="C3360" i="1"/>
  <c r="D3360" i="1"/>
  <c r="C3361" i="1"/>
  <c r="D3361" i="1"/>
  <c r="C3362" i="1"/>
  <c r="D3362" i="1"/>
  <c r="C3363" i="1"/>
  <c r="D3363" i="1"/>
  <c r="C3364" i="1"/>
  <c r="D3364" i="1"/>
  <c r="C3365" i="1"/>
  <c r="D3365" i="1"/>
  <c r="C3366" i="1"/>
  <c r="D3366" i="1"/>
  <c r="C3367" i="1"/>
  <c r="D3367" i="1"/>
  <c r="C3368" i="1"/>
  <c r="D3368" i="1"/>
  <c r="C3369" i="1"/>
  <c r="D3369" i="1"/>
  <c r="C3370" i="1"/>
  <c r="D3370" i="1"/>
  <c r="C3371" i="1"/>
  <c r="D3371" i="1"/>
  <c r="C3372" i="1"/>
  <c r="D3372" i="1"/>
  <c r="C3373" i="1"/>
  <c r="D3373" i="1"/>
  <c r="C3374" i="1"/>
  <c r="D3374" i="1"/>
  <c r="C3375" i="1"/>
  <c r="D3375" i="1"/>
  <c r="C3376" i="1"/>
  <c r="D3376" i="1"/>
  <c r="C3377" i="1"/>
  <c r="D3377" i="1"/>
  <c r="C3378" i="1"/>
  <c r="D3378" i="1"/>
  <c r="C3379" i="1"/>
  <c r="D3379" i="1"/>
  <c r="C3380" i="1"/>
  <c r="D3380" i="1"/>
  <c r="C3381" i="1"/>
  <c r="D3381" i="1"/>
  <c r="C3382" i="1"/>
  <c r="D3382" i="1"/>
  <c r="C3383" i="1"/>
  <c r="D3383" i="1"/>
  <c r="C3384" i="1"/>
  <c r="D3384" i="1"/>
  <c r="C3385" i="1"/>
  <c r="D3385" i="1"/>
  <c r="C3386" i="1"/>
  <c r="D3386" i="1"/>
  <c r="C3387" i="1"/>
  <c r="D3387" i="1"/>
  <c r="C3388" i="1"/>
  <c r="D3388" i="1"/>
  <c r="C3389" i="1"/>
  <c r="D3389" i="1"/>
  <c r="C3390" i="1"/>
  <c r="D3390" i="1"/>
  <c r="C3391" i="1"/>
  <c r="D3391" i="1"/>
  <c r="C3392" i="1"/>
  <c r="D3392" i="1"/>
  <c r="C3393" i="1"/>
  <c r="D3393" i="1"/>
  <c r="C3394" i="1"/>
  <c r="D3394" i="1"/>
  <c r="C3395" i="1"/>
  <c r="D3395" i="1"/>
  <c r="C3396" i="1"/>
  <c r="D3396" i="1"/>
  <c r="C3397" i="1"/>
  <c r="D3397" i="1"/>
  <c r="C3398" i="1"/>
  <c r="D3398" i="1"/>
  <c r="C3399" i="1"/>
  <c r="D3399" i="1"/>
  <c r="C3400" i="1"/>
  <c r="D3400" i="1"/>
  <c r="C3401" i="1"/>
  <c r="D3401" i="1"/>
  <c r="C3402" i="1"/>
  <c r="D3402" i="1"/>
  <c r="C3403" i="1"/>
  <c r="D3403" i="1"/>
  <c r="C3404" i="1"/>
  <c r="D3404" i="1"/>
  <c r="C3405" i="1"/>
  <c r="D3405" i="1"/>
  <c r="C3406" i="1"/>
  <c r="D3406" i="1"/>
  <c r="C3407" i="1"/>
  <c r="D3407" i="1"/>
  <c r="C3408" i="1"/>
  <c r="D3408" i="1"/>
  <c r="C3409" i="1"/>
  <c r="D3409" i="1"/>
  <c r="C3410" i="1"/>
  <c r="D3410" i="1"/>
  <c r="C3411" i="1"/>
  <c r="D3411" i="1"/>
  <c r="C3412" i="1"/>
  <c r="D3412" i="1"/>
  <c r="C3413" i="1"/>
  <c r="D3413" i="1"/>
  <c r="C3414" i="1"/>
  <c r="D3414" i="1"/>
  <c r="C3415" i="1"/>
  <c r="D3415" i="1"/>
  <c r="C3416" i="1"/>
  <c r="D3416" i="1"/>
  <c r="C3417" i="1"/>
  <c r="D3417" i="1"/>
  <c r="C3418" i="1"/>
  <c r="D3418" i="1"/>
  <c r="C3419" i="1"/>
  <c r="D3419" i="1"/>
  <c r="C3420" i="1"/>
  <c r="D3420" i="1"/>
  <c r="C3421" i="1"/>
  <c r="D3421" i="1"/>
  <c r="C3422" i="1"/>
  <c r="D3422" i="1"/>
  <c r="C3423" i="1"/>
  <c r="D3423" i="1"/>
  <c r="C3424" i="1"/>
  <c r="D3424" i="1"/>
  <c r="C3425" i="1"/>
  <c r="D3425" i="1"/>
  <c r="C3426" i="1"/>
  <c r="D3426" i="1"/>
  <c r="C3427" i="1"/>
  <c r="D3427" i="1"/>
  <c r="C3428" i="1"/>
  <c r="D3428" i="1"/>
  <c r="C3429" i="1"/>
  <c r="D3429" i="1"/>
  <c r="C3430" i="1"/>
  <c r="D3430" i="1"/>
  <c r="C3431" i="1"/>
  <c r="D3431" i="1"/>
  <c r="C3432" i="1"/>
  <c r="D3432" i="1"/>
  <c r="C3433" i="1"/>
  <c r="D3433" i="1"/>
  <c r="C3434" i="1"/>
  <c r="D3434" i="1"/>
  <c r="C3435" i="1"/>
  <c r="D3435" i="1"/>
  <c r="C3436" i="1"/>
  <c r="D3436" i="1"/>
  <c r="C3437" i="1"/>
  <c r="D3437" i="1"/>
  <c r="C3438" i="1"/>
  <c r="D3438" i="1"/>
  <c r="C3439" i="1"/>
  <c r="D3439" i="1"/>
  <c r="C3440" i="1"/>
  <c r="D3440" i="1"/>
  <c r="C3441" i="1"/>
  <c r="D3441" i="1"/>
  <c r="C3442" i="1"/>
  <c r="D3442" i="1"/>
  <c r="C3443" i="1"/>
  <c r="D3443" i="1"/>
  <c r="C3444" i="1"/>
  <c r="D3444" i="1"/>
  <c r="C3445" i="1"/>
  <c r="D3445" i="1"/>
  <c r="C3446" i="1"/>
  <c r="D3446" i="1"/>
  <c r="C3447" i="1"/>
  <c r="D3447" i="1"/>
  <c r="C3448" i="1"/>
  <c r="D3448" i="1"/>
  <c r="C3449" i="1"/>
  <c r="D3449" i="1"/>
  <c r="C3450" i="1"/>
  <c r="D3450" i="1"/>
  <c r="C3451" i="1"/>
  <c r="D3451" i="1"/>
  <c r="C3452" i="1"/>
  <c r="D3452" i="1"/>
  <c r="C3453" i="1"/>
  <c r="D3453" i="1"/>
  <c r="C3454" i="1"/>
  <c r="D3454" i="1"/>
  <c r="C3455" i="1"/>
  <c r="D3455" i="1"/>
  <c r="C3456" i="1"/>
  <c r="D3456" i="1"/>
  <c r="C3457" i="1"/>
  <c r="D3457" i="1"/>
  <c r="C3458" i="1"/>
  <c r="D3458" i="1"/>
  <c r="C3459" i="1"/>
  <c r="D3459" i="1"/>
  <c r="C3460" i="1"/>
  <c r="D3460" i="1"/>
  <c r="C3461" i="1"/>
  <c r="D3461" i="1"/>
  <c r="C3462" i="1"/>
  <c r="D3462" i="1"/>
  <c r="C3463" i="1"/>
  <c r="D3463" i="1"/>
  <c r="C3464" i="1"/>
  <c r="D3464" i="1"/>
  <c r="C3465" i="1"/>
  <c r="D3465" i="1"/>
  <c r="C3466" i="1"/>
  <c r="D3466" i="1"/>
  <c r="C3467" i="1"/>
  <c r="D3467" i="1"/>
  <c r="C3468" i="1"/>
  <c r="D3468" i="1"/>
  <c r="C3469" i="1"/>
  <c r="D3469" i="1"/>
  <c r="C3470" i="1"/>
  <c r="D3470" i="1"/>
  <c r="C3471" i="1"/>
  <c r="D3471" i="1"/>
  <c r="C3472" i="1"/>
  <c r="D3472" i="1"/>
  <c r="C3473" i="1"/>
  <c r="D3473" i="1"/>
  <c r="C3474" i="1"/>
  <c r="D3474" i="1"/>
  <c r="C3475" i="1"/>
  <c r="D3475" i="1"/>
  <c r="C3476" i="1"/>
  <c r="D3476" i="1"/>
  <c r="C3477" i="1"/>
  <c r="D3477" i="1"/>
  <c r="C3478" i="1"/>
  <c r="D3478" i="1"/>
  <c r="C3479" i="1"/>
  <c r="D3479" i="1"/>
  <c r="C3480" i="1"/>
  <c r="D3480" i="1"/>
  <c r="C3481" i="1"/>
  <c r="D3481" i="1"/>
  <c r="C3482" i="1"/>
  <c r="D3482" i="1"/>
  <c r="C3483" i="1"/>
  <c r="D3483" i="1"/>
  <c r="C3484" i="1"/>
  <c r="D3484" i="1"/>
  <c r="C3485" i="1"/>
  <c r="D3485" i="1"/>
  <c r="C3486" i="1"/>
  <c r="D3486" i="1"/>
  <c r="C3487" i="1"/>
  <c r="D3487" i="1"/>
  <c r="C3488" i="1"/>
  <c r="D3488" i="1"/>
  <c r="C3489" i="1"/>
  <c r="D3489" i="1"/>
  <c r="C3490" i="1"/>
  <c r="D3490" i="1"/>
  <c r="C3491" i="1"/>
  <c r="D3491" i="1"/>
  <c r="C3492" i="1"/>
  <c r="D3492" i="1"/>
  <c r="C3493" i="1"/>
  <c r="D3493" i="1"/>
  <c r="C3494" i="1"/>
  <c r="D3494" i="1"/>
  <c r="C3495" i="1"/>
  <c r="D3495" i="1"/>
  <c r="C3496" i="1"/>
  <c r="D3496" i="1"/>
  <c r="C3497" i="1"/>
  <c r="D3497" i="1"/>
  <c r="C3498" i="1"/>
  <c r="D3498" i="1"/>
  <c r="C3499" i="1"/>
  <c r="D3499" i="1"/>
  <c r="C3500" i="1"/>
  <c r="D3500" i="1"/>
  <c r="C3501" i="1"/>
  <c r="D3501" i="1"/>
  <c r="C3502" i="1"/>
  <c r="D3502" i="1"/>
  <c r="C3503" i="1"/>
  <c r="D3503" i="1"/>
  <c r="C3504" i="1"/>
  <c r="D3504" i="1"/>
  <c r="C3505" i="1"/>
  <c r="D3505" i="1"/>
  <c r="C3506" i="1"/>
  <c r="D3506" i="1"/>
  <c r="C3507" i="1"/>
  <c r="D3507" i="1"/>
  <c r="C3508" i="1"/>
  <c r="D3508" i="1"/>
  <c r="C3509" i="1"/>
  <c r="D3509" i="1"/>
  <c r="C3510" i="1"/>
  <c r="D3510" i="1"/>
  <c r="C3511" i="1"/>
  <c r="D3511" i="1"/>
  <c r="C3512" i="1"/>
  <c r="D3512" i="1"/>
  <c r="C3513" i="1"/>
  <c r="D3513" i="1"/>
  <c r="C3514" i="1"/>
  <c r="D3514" i="1"/>
  <c r="C3515" i="1"/>
  <c r="D3515" i="1"/>
  <c r="C3516" i="1"/>
  <c r="D3516" i="1"/>
  <c r="C3517" i="1"/>
  <c r="D3517" i="1"/>
  <c r="C3518" i="1"/>
  <c r="D3518" i="1"/>
  <c r="C3519" i="1"/>
  <c r="D3519" i="1"/>
  <c r="C3520" i="1"/>
  <c r="D3520" i="1"/>
  <c r="C3521" i="1"/>
  <c r="D3521" i="1"/>
  <c r="C3522" i="1"/>
  <c r="D3522" i="1"/>
  <c r="C3523" i="1"/>
  <c r="D3523" i="1"/>
  <c r="C3524" i="1"/>
  <c r="D3524" i="1"/>
  <c r="C3525" i="1"/>
  <c r="D3525" i="1"/>
  <c r="C3526" i="1"/>
  <c r="D3526" i="1"/>
  <c r="C3527" i="1"/>
  <c r="D3527" i="1"/>
  <c r="C3528" i="1"/>
  <c r="D3528" i="1"/>
  <c r="C3529" i="1"/>
  <c r="D3529" i="1"/>
  <c r="C3530" i="1"/>
  <c r="D3530" i="1"/>
  <c r="C3531" i="1"/>
  <c r="D3531" i="1"/>
  <c r="C3532" i="1"/>
  <c r="D3532" i="1"/>
  <c r="C3533" i="1"/>
  <c r="D3533" i="1"/>
  <c r="C3534" i="1"/>
  <c r="D3534" i="1"/>
  <c r="C3535" i="1"/>
  <c r="D3535" i="1"/>
  <c r="C3536" i="1"/>
  <c r="D3536" i="1"/>
  <c r="C3537" i="1"/>
  <c r="D3537" i="1"/>
  <c r="C3538" i="1"/>
  <c r="D3538" i="1"/>
  <c r="C3539" i="1"/>
  <c r="D3539" i="1"/>
  <c r="C3540" i="1"/>
  <c r="D3540" i="1"/>
  <c r="C3541" i="1"/>
  <c r="D3541" i="1"/>
  <c r="C3542" i="1"/>
  <c r="D3542" i="1"/>
  <c r="C3543" i="1"/>
  <c r="D3543" i="1"/>
  <c r="C3544" i="1"/>
  <c r="D3544" i="1"/>
  <c r="C3545" i="1"/>
  <c r="D3545" i="1"/>
  <c r="C3546" i="1"/>
  <c r="D3546" i="1"/>
  <c r="C3547" i="1"/>
  <c r="D3547" i="1"/>
  <c r="C3548" i="1"/>
  <c r="D3548" i="1"/>
  <c r="C3549" i="1"/>
  <c r="D3549" i="1"/>
  <c r="C3550" i="1"/>
  <c r="D3550" i="1"/>
  <c r="C3551" i="1"/>
  <c r="D3551" i="1"/>
  <c r="C3552" i="1"/>
  <c r="D3552" i="1"/>
  <c r="C3553" i="1"/>
  <c r="D3553" i="1"/>
  <c r="C3554" i="1"/>
  <c r="D3554" i="1"/>
  <c r="C3555" i="1"/>
  <c r="D3555" i="1"/>
  <c r="C3556" i="1"/>
  <c r="D3556" i="1"/>
  <c r="C3557" i="1"/>
  <c r="D3557" i="1"/>
  <c r="C3558" i="1"/>
  <c r="D3558" i="1"/>
  <c r="C3559" i="1"/>
  <c r="D3559" i="1"/>
  <c r="C3560" i="1"/>
  <c r="D3560" i="1"/>
  <c r="C3561" i="1"/>
  <c r="D3561" i="1"/>
  <c r="C3562" i="1"/>
  <c r="D3562" i="1"/>
  <c r="C3563" i="1"/>
  <c r="D3563" i="1"/>
  <c r="C3564" i="1"/>
  <c r="D3564" i="1"/>
  <c r="C3565" i="1"/>
  <c r="D3565" i="1"/>
  <c r="C3566" i="1"/>
  <c r="D3566" i="1"/>
  <c r="C3567" i="1"/>
  <c r="D3567" i="1"/>
  <c r="C3568" i="1"/>
  <c r="D3568" i="1"/>
  <c r="C3569" i="1"/>
  <c r="D3569" i="1"/>
  <c r="C3570" i="1"/>
  <c r="D3570" i="1"/>
  <c r="C3571" i="1"/>
  <c r="D3571" i="1"/>
  <c r="C3572" i="1"/>
  <c r="D3572" i="1"/>
  <c r="C3573" i="1"/>
  <c r="D3573" i="1"/>
  <c r="C3574" i="1"/>
  <c r="D3574" i="1"/>
  <c r="C3575" i="1"/>
  <c r="D3575" i="1"/>
  <c r="C3576" i="1"/>
  <c r="D3576" i="1"/>
  <c r="C3577" i="1"/>
  <c r="D3577" i="1"/>
  <c r="C3578" i="1"/>
  <c r="D3578" i="1"/>
  <c r="C3579" i="1"/>
  <c r="D3579" i="1"/>
  <c r="C3580" i="1"/>
  <c r="D3580" i="1"/>
  <c r="C3581" i="1"/>
  <c r="D3581" i="1"/>
  <c r="C3582" i="1"/>
  <c r="D3582" i="1"/>
  <c r="C3583" i="1"/>
  <c r="D3583" i="1"/>
  <c r="C3584" i="1"/>
  <c r="D3584" i="1"/>
  <c r="C3585" i="1"/>
  <c r="D3585" i="1"/>
  <c r="C3586" i="1"/>
  <c r="D3586" i="1"/>
  <c r="C3587" i="1"/>
  <c r="D3587" i="1"/>
  <c r="C3588" i="1"/>
  <c r="D3588" i="1"/>
  <c r="C3589" i="1"/>
  <c r="D3589" i="1"/>
  <c r="C3590" i="1"/>
  <c r="D3590" i="1"/>
  <c r="C3591" i="1"/>
  <c r="D3591" i="1"/>
  <c r="C3592" i="1"/>
  <c r="D3592" i="1"/>
  <c r="C3593" i="1"/>
  <c r="D3593" i="1"/>
  <c r="C3594" i="1"/>
  <c r="D3594" i="1"/>
  <c r="C3595" i="1"/>
  <c r="D3595" i="1"/>
  <c r="C3596" i="1"/>
  <c r="D3596" i="1"/>
  <c r="C3597" i="1"/>
  <c r="D3597" i="1"/>
  <c r="C3598" i="1"/>
  <c r="D3598" i="1"/>
  <c r="C3599" i="1"/>
  <c r="D3599" i="1"/>
  <c r="C3600" i="1"/>
  <c r="D3600" i="1"/>
  <c r="C3601" i="1"/>
  <c r="D3601" i="1"/>
  <c r="C3602" i="1"/>
  <c r="D3602" i="1"/>
  <c r="C3603" i="1"/>
  <c r="D3603" i="1"/>
  <c r="C3604" i="1"/>
  <c r="D3604" i="1"/>
  <c r="C3605" i="1"/>
  <c r="D3605" i="1"/>
  <c r="C3606" i="1"/>
  <c r="D3606" i="1"/>
  <c r="C3607" i="1"/>
  <c r="D3607" i="1"/>
  <c r="C3608" i="1"/>
  <c r="D3608" i="1"/>
  <c r="C3609" i="1"/>
  <c r="D3609" i="1"/>
  <c r="C3610" i="1"/>
  <c r="D3610" i="1"/>
  <c r="C3611" i="1"/>
  <c r="D3611" i="1"/>
  <c r="C3612" i="1"/>
  <c r="D3612" i="1"/>
  <c r="C3613" i="1"/>
  <c r="D3613" i="1"/>
  <c r="C3614" i="1"/>
  <c r="D3614" i="1"/>
  <c r="C3615" i="1"/>
  <c r="D3615" i="1"/>
  <c r="C3616" i="1"/>
  <c r="D3616" i="1"/>
  <c r="C3617" i="1"/>
  <c r="D3617" i="1"/>
  <c r="C3618" i="1"/>
  <c r="D3618" i="1"/>
  <c r="C3619" i="1"/>
  <c r="D3619" i="1"/>
  <c r="C3620" i="1"/>
  <c r="D3620" i="1"/>
  <c r="C3621" i="1"/>
  <c r="D3621" i="1"/>
  <c r="C3622" i="1"/>
  <c r="D3622" i="1"/>
  <c r="C3623" i="1"/>
  <c r="D3623" i="1"/>
  <c r="C3624" i="1"/>
  <c r="D3624" i="1"/>
  <c r="C3625" i="1"/>
  <c r="D3625" i="1"/>
  <c r="C3626" i="1"/>
  <c r="D3626" i="1"/>
  <c r="C3627" i="1"/>
  <c r="D3627" i="1"/>
  <c r="C3628" i="1"/>
  <c r="D3628" i="1"/>
  <c r="C3629" i="1"/>
  <c r="D3629" i="1"/>
  <c r="C3630" i="1"/>
  <c r="D3630" i="1"/>
  <c r="C3631" i="1"/>
  <c r="D3631" i="1"/>
  <c r="C3632" i="1"/>
  <c r="D3632" i="1"/>
  <c r="C3633" i="1"/>
  <c r="D3633" i="1"/>
  <c r="C3634" i="1"/>
  <c r="D3634" i="1"/>
  <c r="C3635" i="1"/>
  <c r="D3635" i="1"/>
  <c r="C3636" i="1"/>
  <c r="D3636" i="1"/>
  <c r="C3637" i="1"/>
  <c r="D3637" i="1"/>
  <c r="C3638" i="1"/>
  <c r="D3638" i="1"/>
  <c r="C3639" i="1"/>
  <c r="D3639" i="1"/>
  <c r="C3640" i="1"/>
  <c r="D3640" i="1"/>
  <c r="C3641" i="1"/>
  <c r="D3641" i="1"/>
  <c r="C3642" i="1"/>
  <c r="D3642" i="1"/>
  <c r="C3643" i="1"/>
  <c r="D3643" i="1"/>
  <c r="C3644" i="1"/>
  <c r="D3644" i="1"/>
  <c r="C3645" i="1"/>
  <c r="D3645" i="1"/>
  <c r="C3646" i="1"/>
  <c r="D3646" i="1"/>
  <c r="C3647" i="1"/>
  <c r="D3647" i="1"/>
  <c r="C3648" i="1"/>
  <c r="D3648" i="1"/>
  <c r="C3649" i="1"/>
  <c r="D3649" i="1"/>
  <c r="C3650" i="1"/>
  <c r="D3650" i="1"/>
  <c r="C3651" i="1"/>
  <c r="D3651" i="1"/>
  <c r="C3652" i="1"/>
  <c r="D3652" i="1"/>
  <c r="C3653" i="1"/>
  <c r="D3653" i="1"/>
  <c r="C3654" i="1"/>
  <c r="D3654" i="1"/>
  <c r="C3655" i="1"/>
  <c r="D3655" i="1"/>
  <c r="C3656" i="1"/>
  <c r="D3656" i="1"/>
  <c r="C3657" i="1"/>
  <c r="D3657" i="1"/>
  <c r="C3658" i="1"/>
  <c r="D3658" i="1"/>
  <c r="C3659" i="1"/>
  <c r="D3659" i="1"/>
  <c r="C3660" i="1"/>
  <c r="D3660" i="1"/>
  <c r="C3661" i="1"/>
  <c r="D3661" i="1"/>
  <c r="C3662" i="1"/>
  <c r="D3662" i="1"/>
  <c r="C3663" i="1"/>
  <c r="D3663" i="1"/>
  <c r="C3664" i="1"/>
  <c r="D3664" i="1"/>
  <c r="C3665" i="1"/>
  <c r="D3665" i="1"/>
  <c r="C3666" i="1"/>
  <c r="D3666" i="1"/>
  <c r="C3667" i="1"/>
  <c r="D3667" i="1"/>
  <c r="C3668" i="1"/>
  <c r="D3668" i="1"/>
  <c r="C3669" i="1"/>
  <c r="D3669" i="1"/>
  <c r="C3670" i="1"/>
  <c r="D3670" i="1"/>
  <c r="C3671" i="1"/>
  <c r="D3671" i="1"/>
  <c r="C3672" i="1"/>
  <c r="D3672" i="1"/>
  <c r="C3673" i="1"/>
  <c r="D3673" i="1"/>
  <c r="C3674" i="1"/>
  <c r="D3674" i="1"/>
  <c r="C3675" i="1"/>
  <c r="D3675" i="1"/>
  <c r="C3676" i="1"/>
  <c r="D3676" i="1"/>
  <c r="C3677" i="1"/>
  <c r="D3677" i="1"/>
  <c r="C3678" i="1"/>
  <c r="D3678" i="1"/>
  <c r="C3679" i="1"/>
  <c r="D3679" i="1"/>
  <c r="C3680" i="1"/>
  <c r="D3680" i="1"/>
  <c r="C3681" i="1"/>
  <c r="D3681" i="1"/>
  <c r="C3682" i="1"/>
  <c r="D3682" i="1"/>
  <c r="C3683" i="1"/>
  <c r="D3683" i="1"/>
  <c r="C3684" i="1"/>
  <c r="D3684" i="1"/>
  <c r="C3685" i="1"/>
  <c r="D3685" i="1"/>
  <c r="C3686" i="1"/>
  <c r="D3686" i="1"/>
  <c r="C3687" i="1"/>
  <c r="D3687" i="1"/>
  <c r="C3688" i="1"/>
  <c r="D3688" i="1"/>
  <c r="C3689" i="1"/>
  <c r="D3689" i="1"/>
  <c r="C3690" i="1"/>
  <c r="D3690" i="1"/>
  <c r="C3691" i="1"/>
  <c r="D3691" i="1"/>
  <c r="C3692" i="1"/>
  <c r="D3692" i="1"/>
  <c r="C3693" i="1"/>
  <c r="D3693" i="1"/>
  <c r="C3694" i="1"/>
  <c r="D3694" i="1"/>
  <c r="C3695" i="1"/>
  <c r="D3695" i="1"/>
  <c r="C3696" i="1"/>
  <c r="D3696" i="1"/>
  <c r="C3697" i="1"/>
  <c r="D3697" i="1"/>
  <c r="C3698" i="1"/>
  <c r="D3698" i="1"/>
  <c r="C3699" i="1"/>
  <c r="D3699" i="1"/>
  <c r="C3700" i="1"/>
  <c r="D3700" i="1"/>
  <c r="C3701" i="1"/>
  <c r="D3701" i="1"/>
  <c r="C3702" i="1"/>
  <c r="D3702" i="1"/>
  <c r="C3703" i="1"/>
  <c r="D3703" i="1"/>
  <c r="C3704" i="1"/>
  <c r="D3704" i="1"/>
  <c r="C3705" i="1"/>
  <c r="D3705" i="1"/>
  <c r="C3706" i="1"/>
  <c r="D3706" i="1"/>
  <c r="C3707" i="1"/>
  <c r="D3707" i="1"/>
  <c r="C3708" i="1"/>
  <c r="D3708" i="1"/>
  <c r="C3709" i="1"/>
  <c r="D3709" i="1"/>
  <c r="C3710" i="1"/>
  <c r="D3710" i="1"/>
  <c r="C3711" i="1"/>
  <c r="D3711" i="1"/>
  <c r="C3712" i="1"/>
  <c r="D3712" i="1"/>
  <c r="C3713" i="1"/>
  <c r="D3713" i="1"/>
  <c r="C3714" i="1"/>
  <c r="D3714" i="1"/>
  <c r="C3715" i="1"/>
  <c r="D3715" i="1"/>
  <c r="C3716" i="1"/>
  <c r="D3716" i="1"/>
  <c r="C3717" i="1"/>
  <c r="D3717" i="1"/>
  <c r="C3718" i="1"/>
  <c r="D3718" i="1"/>
  <c r="C3719" i="1"/>
  <c r="D3719" i="1"/>
  <c r="C3720" i="1"/>
  <c r="D3720" i="1"/>
  <c r="C3721" i="1"/>
  <c r="D3721" i="1"/>
  <c r="C3722" i="1"/>
  <c r="D3722" i="1"/>
  <c r="C3723" i="1"/>
  <c r="D3723" i="1"/>
  <c r="C3724" i="1"/>
  <c r="D3724" i="1"/>
  <c r="C3725" i="1"/>
  <c r="D3725" i="1"/>
  <c r="C3726" i="1"/>
  <c r="D3726" i="1"/>
  <c r="C3727" i="1"/>
  <c r="D3727" i="1"/>
  <c r="C3728" i="1"/>
  <c r="D3728" i="1"/>
  <c r="C3729" i="1"/>
  <c r="D3729" i="1"/>
  <c r="C3730" i="1"/>
  <c r="D3730" i="1"/>
  <c r="C3731" i="1"/>
  <c r="D3731" i="1"/>
  <c r="C3732" i="1"/>
  <c r="D3732" i="1"/>
  <c r="C3733" i="1"/>
  <c r="D3733" i="1"/>
  <c r="C3734" i="1"/>
  <c r="D3734" i="1"/>
  <c r="C3735" i="1"/>
  <c r="D3735" i="1"/>
  <c r="C3736" i="1"/>
  <c r="D3736" i="1"/>
  <c r="C3737" i="1"/>
  <c r="D3737" i="1"/>
  <c r="C3738" i="1"/>
  <c r="D3738" i="1"/>
  <c r="C3739" i="1"/>
  <c r="D3739" i="1"/>
  <c r="C3740" i="1"/>
  <c r="D3740" i="1"/>
  <c r="C3741" i="1"/>
  <c r="D3741" i="1"/>
  <c r="C3742" i="1"/>
  <c r="D3742" i="1"/>
  <c r="C3743" i="1"/>
  <c r="D3743" i="1"/>
  <c r="C3744" i="1"/>
  <c r="D3744" i="1"/>
  <c r="C3745" i="1"/>
  <c r="D3745" i="1"/>
  <c r="C3746" i="1"/>
  <c r="D3746" i="1"/>
  <c r="C3747" i="1"/>
  <c r="D3747" i="1"/>
  <c r="C3748" i="1"/>
  <c r="D3748" i="1"/>
  <c r="C3749" i="1"/>
  <c r="D3749" i="1"/>
  <c r="C3750" i="1"/>
  <c r="D3750" i="1"/>
  <c r="C3751" i="1"/>
  <c r="D3751" i="1"/>
  <c r="C3752" i="1"/>
  <c r="D3752" i="1"/>
  <c r="C3753" i="1"/>
  <c r="D3753" i="1"/>
  <c r="C3754" i="1"/>
  <c r="D3754" i="1"/>
  <c r="C3755" i="1"/>
  <c r="D3755" i="1"/>
  <c r="C3756" i="1"/>
  <c r="D3756" i="1"/>
  <c r="C3757" i="1"/>
  <c r="D3757" i="1"/>
  <c r="C3758" i="1"/>
  <c r="D3758" i="1"/>
  <c r="C3759" i="1"/>
  <c r="D3759" i="1"/>
  <c r="C3760" i="1"/>
  <c r="D3760" i="1"/>
  <c r="C3761" i="1"/>
  <c r="D3761" i="1"/>
  <c r="C3762" i="1"/>
  <c r="D3762" i="1"/>
  <c r="C3763" i="1"/>
  <c r="D3763" i="1"/>
  <c r="C3764" i="1"/>
  <c r="D3764" i="1"/>
  <c r="C3765" i="1"/>
  <c r="D3765" i="1"/>
  <c r="C3766" i="1"/>
  <c r="D3766" i="1"/>
  <c r="C3767" i="1"/>
  <c r="D3767" i="1"/>
  <c r="C3768" i="1"/>
  <c r="D3768" i="1"/>
  <c r="C3769" i="1"/>
  <c r="D3769" i="1"/>
  <c r="C3770" i="1"/>
  <c r="D3770" i="1"/>
  <c r="C3771" i="1"/>
  <c r="D3771" i="1"/>
  <c r="C3772" i="1"/>
  <c r="D3772" i="1"/>
  <c r="C3773" i="1"/>
  <c r="D3773" i="1"/>
  <c r="C3774" i="1"/>
  <c r="D3774" i="1"/>
  <c r="C3775" i="1"/>
  <c r="D3775" i="1"/>
  <c r="C3776" i="1"/>
  <c r="D3776" i="1"/>
  <c r="C3777" i="1"/>
  <c r="D3777" i="1"/>
  <c r="C3778" i="1"/>
  <c r="D3778" i="1"/>
  <c r="C3779" i="1"/>
  <c r="D3779" i="1"/>
  <c r="C3780" i="1"/>
  <c r="D3780" i="1"/>
  <c r="C3781" i="1"/>
  <c r="D3781" i="1"/>
  <c r="C3782" i="1"/>
  <c r="D3782" i="1"/>
  <c r="C3783" i="1"/>
  <c r="D3783" i="1"/>
  <c r="C3784" i="1"/>
  <c r="D3784" i="1"/>
  <c r="C3785" i="1"/>
  <c r="D3785" i="1"/>
  <c r="C3786" i="1"/>
  <c r="D3786" i="1"/>
  <c r="C3787" i="1"/>
  <c r="D3787" i="1"/>
  <c r="C3788" i="1"/>
  <c r="D3788" i="1"/>
  <c r="C3789" i="1"/>
  <c r="D3789" i="1"/>
  <c r="C3790" i="1"/>
  <c r="D3790" i="1"/>
  <c r="C3791" i="1"/>
  <c r="D3791" i="1"/>
  <c r="C3792" i="1"/>
  <c r="D3792" i="1"/>
  <c r="C3793" i="1"/>
  <c r="D3793" i="1"/>
  <c r="C3794" i="1"/>
  <c r="D3794" i="1"/>
  <c r="C3795" i="1"/>
  <c r="D3795" i="1"/>
  <c r="C3796" i="1"/>
  <c r="D3796" i="1"/>
  <c r="C3797" i="1"/>
  <c r="D3797" i="1"/>
  <c r="C3798" i="1"/>
  <c r="D3798" i="1"/>
  <c r="C3799" i="1"/>
  <c r="D3799" i="1"/>
  <c r="C3800" i="1"/>
  <c r="D3800" i="1"/>
  <c r="C3801" i="1"/>
  <c r="D3801" i="1"/>
  <c r="C3802" i="1"/>
  <c r="D3802" i="1"/>
  <c r="C3803" i="1"/>
  <c r="D3803" i="1"/>
  <c r="C3804" i="1"/>
  <c r="D3804" i="1"/>
  <c r="C3805" i="1"/>
  <c r="D3805" i="1"/>
  <c r="C3806" i="1"/>
  <c r="D3806" i="1"/>
  <c r="C3807" i="1"/>
  <c r="D3807" i="1"/>
  <c r="C3808" i="1"/>
  <c r="D3808" i="1"/>
  <c r="C3809" i="1"/>
  <c r="D3809" i="1"/>
  <c r="C3810" i="1"/>
  <c r="D3810" i="1"/>
  <c r="C3811" i="1"/>
  <c r="D3811" i="1"/>
  <c r="C3812" i="1"/>
  <c r="D3812" i="1"/>
  <c r="C3813" i="1"/>
  <c r="D3813" i="1"/>
  <c r="C3814" i="1"/>
  <c r="D3814" i="1"/>
  <c r="C3815" i="1"/>
  <c r="D3815" i="1"/>
  <c r="C3816" i="1"/>
  <c r="D3816" i="1"/>
  <c r="C3817" i="1"/>
  <c r="D3817" i="1"/>
  <c r="C3818" i="1"/>
  <c r="D3818" i="1"/>
  <c r="C3819" i="1"/>
  <c r="D3819" i="1"/>
  <c r="C3820" i="1"/>
  <c r="D3820" i="1"/>
  <c r="C3821" i="1"/>
  <c r="D3821" i="1"/>
  <c r="C3822" i="1"/>
  <c r="D3822" i="1"/>
  <c r="C3823" i="1"/>
  <c r="D3823" i="1"/>
  <c r="C3824" i="1"/>
  <c r="D3824" i="1"/>
  <c r="C3825" i="1"/>
  <c r="D3825" i="1"/>
  <c r="C3826" i="1"/>
  <c r="D3826" i="1"/>
  <c r="C3827" i="1"/>
  <c r="D3827" i="1"/>
  <c r="C3828" i="1"/>
  <c r="D3828" i="1"/>
  <c r="C3829" i="1"/>
  <c r="D3829" i="1"/>
  <c r="C3830" i="1"/>
  <c r="D3830" i="1"/>
  <c r="C3831" i="1"/>
  <c r="D3831" i="1"/>
  <c r="C3832" i="1"/>
  <c r="D3832" i="1"/>
  <c r="C3833" i="1"/>
  <c r="D3833" i="1"/>
  <c r="C3834" i="1"/>
  <c r="D3834" i="1"/>
  <c r="C3835" i="1"/>
  <c r="D3835" i="1"/>
  <c r="C3836" i="1"/>
  <c r="D3836" i="1"/>
  <c r="C3837" i="1"/>
  <c r="D3837" i="1"/>
  <c r="C3838" i="1"/>
  <c r="D3838" i="1"/>
  <c r="C3839" i="1"/>
  <c r="D3839" i="1"/>
  <c r="C3840" i="1"/>
  <c r="D3840" i="1"/>
  <c r="C3841" i="1"/>
  <c r="D3841" i="1"/>
  <c r="C3842" i="1"/>
  <c r="D3842" i="1"/>
  <c r="C3843" i="1"/>
  <c r="D3843" i="1"/>
  <c r="C3844" i="1"/>
  <c r="D3844" i="1"/>
  <c r="C3845" i="1"/>
  <c r="D3845" i="1"/>
  <c r="C3846" i="1"/>
  <c r="D3846" i="1"/>
  <c r="C3847" i="1"/>
  <c r="D3847" i="1"/>
  <c r="C3848" i="1"/>
  <c r="D3848" i="1"/>
  <c r="C3849" i="1"/>
  <c r="D3849" i="1"/>
  <c r="C3850" i="1"/>
  <c r="D3850" i="1"/>
  <c r="C3851" i="1"/>
  <c r="D3851" i="1"/>
  <c r="C3852" i="1"/>
  <c r="D3852" i="1"/>
  <c r="C3853" i="1"/>
  <c r="D3853" i="1"/>
  <c r="C3854" i="1"/>
  <c r="D3854" i="1"/>
  <c r="C3855" i="1"/>
  <c r="D3855" i="1"/>
  <c r="C3856" i="1"/>
  <c r="D3856" i="1"/>
  <c r="C3857" i="1"/>
  <c r="D3857" i="1"/>
  <c r="C3858" i="1"/>
  <c r="D3858" i="1"/>
  <c r="C3859" i="1"/>
  <c r="D3859" i="1"/>
  <c r="C3860" i="1"/>
  <c r="D3860" i="1"/>
  <c r="C3861" i="1"/>
  <c r="D3861" i="1"/>
  <c r="C3862" i="1"/>
  <c r="D3862" i="1"/>
  <c r="C3863" i="1"/>
  <c r="D3863" i="1"/>
  <c r="C3864" i="1"/>
  <c r="D3864" i="1"/>
  <c r="C3865" i="1"/>
  <c r="D3865" i="1"/>
  <c r="C3866" i="1"/>
  <c r="D3866" i="1"/>
  <c r="C3867" i="1"/>
  <c r="D3867" i="1"/>
  <c r="C3868" i="1"/>
  <c r="D3868" i="1"/>
  <c r="C3869" i="1"/>
  <c r="D3869" i="1"/>
  <c r="C3870" i="1"/>
  <c r="D3870" i="1"/>
  <c r="C3871" i="1"/>
  <c r="D3871" i="1"/>
  <c r="C3872" i="1"/>
  <c r="D3872" i="1"/>
  <c r="C3873" i="1"/>
  <c r="D3873" i="1"/>
  <c r="C3874" i="1"/>
  <c r="D3874" i="1"/>
  <c r="C3875" i="1"/>
  <c r="D3875" i="1"/>
  <c r="C3876" i="1"/>
  <c r="D3876" i="1"/>
  <c r="C3877" i="1"/>
  <c r="D3877" i="1"/>
  <c r="C3878" i="1"/>
  <c r="D3878" i="1"/>
  <c r="C3879" i="1"/>
  <c r="D3879" i="1"/>
  <c r="C3880" i="1"/>
  <c r="D3880" i="1"/>
  <c r="C3881" i="1"/>
  <c r="D3881" i="1"/>
  <c r="C3882" i="1"/>
  <c r="D3882" i="1"/>
  <c r="C3883" i="1"/>
  <c r="D3883" i="1"/>
  <c r="C3884" i="1"/>
  <c r="D3884" i="1"/>
  <c r="C3885" i="1"/>
  <c r="D3885" i="1"/>
  <c r="C3886" i="1"/>
  <c r="D3886" i="1"/>
  <c r="C3887" i="1"/>
  <c r="D3887" i="1"/>
  <c r="C3888" i="1"/>
  <c r="D3888" i="1"/>
  <c r="C3889" i="1"/>
  <c r="D3889" i="1"/>
  <c r="C3890" i="1"/>
  <c r="D3890" i="1"/>
  <c r="C3891" i="1"/>
  <c r="D3891" i="1"/>
  <c r="C3892" i="1"/>
  <c r="D3892" i="1"/>
  <c r="C3893" i="1"/>
  <c r="D3893" i="1"/>
  <c r="C3894" i="1"/>
  <c r="D3894" i="1"/>
  <c r="C3895" i="1"/>
  <c r="D3895" i="1"/>
  <c r="C3896" i="1"/>
  <c r="D3896" i="1"/>
  <c r="C3897" i="1"/>
  <c r="D3897" i="1"/>
  <c r="C3898" i="1"/>
  <c r="D3898" i="1"/>
  <c r="C3899" i="1"/>
  <c r="D3899" i="1"/>
  <c r="C3900" i="1"/>
  <c r="D3900" i="1"/>
  <c r="C3901" i="1"/>
  <c r="D3901" i="1"/>
  <c r="C3902" i="1"/>
  <c r="D3902" i="1"/>
  <c r="C3903" i="1"/>
  <c r="D3903" i="1"/>
  <c r="C3904" i="1"/>
  <c r="D3904" i="1"/>
  <c r="C3905" i="1"/>
  <c r="D3905" i="1"/>
  <c r="C3906" i="1"/>
  <c r="D3906" i="1"/>
  <c r="C3907" i="1"/>
  <c r="D3907" i="1"/>
  <c r="C3908" i="1"/>
  <c r="D3908" i="1"/>
  <c r="C3909" i="1"/>
  <c r="D3909" i="1"/>
  <c r="C3910" i="1"/>
  <c r="D3910" i="1"/>
  <c r="C3911" i="1"/>
  <c r="D3911" i="1"/>
  <c r="C3912" i="1"/>
  <c r="D3912" i="1"/>
  <c r="C3913" i="1"/>
  <c r="D3913" i="1"/>
  <c r="C3914" i="1"/>
  <c r="D3914" i="1"/>
  <c r="C3915" i="1"/>
  <c r="D3915" i="1"/>
  <c r="C3916" i="1"/>
  <c r="D3916" i="1"/>
  <c r="C3917" i="1"/>
  <c r="D3917" i="1"/>
  <c r="C3918" i="1"/>
  <c r="D3918" i="1"/>
  <c r="C3919" i="1"/>
  <c r="D3919" i="1"/>
  <c r="C3920" i="1"/>
  <c r="D3920" i="1"/>
  <c r="C3921" i="1"/>
  <c r="D3921" i="1"/>
  <c r="C3922" i="1"/>
  <c r="D3922" i="1"/>
  <c r="C3923" i="1"/>
  <c r="D3923" i="1"/>
  <c r="C3924" i="1"/>
  <c r="D3924" i="1"/>
  <c r="C3925" i="1"/>
  <c r="D3925" i="1"/>
  <c r="C3926" i="1"/>
  <c r="D3926" i="1"/>
  <c r="C3927" i="1"/>
  <c r="D3927" i="1"/>
  <c r="C3928" i="1"/>
  <c r="D3928" i="1"/>
  <c r="C3929" i="1"/>
  <c r="D3929" i="1"/>
  <c r="C3930" i="1"/>
  <c r="D3930" i="1"/>
  <c r="C3931" i="1"/>
  <c r="D3931" i="1"/>
  <c r="C3932" i="1"/>
  <c r="D3932" i="1"/>
  <c r="C3933" i="1"/>
  <c r="D3933" i="1"/>
  <c r="C3934" i="1"/>
  <c r="D3934" i="1"/>
  <c r="C3935" i="1"/>
  <c r="D3935" i="1"/>
  <c r="C3936" i="1"/>
  <c r="D3936" i="1"/>
  <c r="C3937" i="1"/>
  <c r="D3937" i="1"/>
  <c r="C3938" i="1"/>
  <c r="D3938" i="1"/>
  <c r="C3939" i="1"/>
  <c r="D3939" i="1"/>
  <c r="C3940" i="1"/>
  <c r="D3940" i="1"/>
  <c r="C3941" i="1"/>
  <c r="D3941" i="1"/>
  <c r="C3942" i="1"/>
  <c r="D3942" i="1"/>
  <c r="C3943" i="1"/>
  <c r="D3943" i="1"/>
  <c r="C3944" i="1"/>
  <c r="D3944" i="1"/>
  <c r="C3945" i="1"/>
  <c r="D3945" i="1"/>
  <c r="C3946" i="1"/>
  <c r="D3946" i="1"/>
  <c r="C3947" i="1"/>
  <c r="D3947" i="1"/>
  <c r="C3948" i="1"/>
  <c r="D3948" i="1"/>
  <c r="C3949" i="1"/>
  <c r="D3949" i="1"/>
  <c r="C3950" i="1"/>
  <c r="D3950" i="1"/>
  <c r="C3951" i="1"/>
  <c r="D3951" i="1"/>
  <c r="C3952" i="1"/>
  <c r="D3952" i="1"/>
  <c r="C3953" i="1"/>
  <c r="D3953" i="1"/>
  <c r="C3954" i="1"/>
  <c r="D3954" i="1"/>
  <c r="C3955" i="1"/>
  <c r="D3955" i="1"/>
  <c r="C3956" i="1"/>
  <c r="D3956" i="1"/>
  <c r="C3957" i="1"/>
  <c r="D3957" i="1"/>
  <c r="C3958" i="1"/>
  <c r="D3958" i="1"/>
  <c r="C3959" i="1"/>
  <c r="D3959" i="1"/>
  <c r="C3960" i="1"/>
  <c r="D3960" i="1"/>
  <c r="C3961" i="1"/>
  <c r="D3961" i="1"/>
  <c r="C3962" i="1"/>
  <c r="D3962" i="1"/>
  <c r="C3963" i="1"/>
  <c r="D3963" i="1"/>
  <c r="C3964" i="1"/>
  <c r="D3964" i="1"/>
  <c r="C3965" i="1"/>
  <c r="D3965" i="1"/>
  <c r="C3966" i="1"/>
  <c r="D3966" i="1"/>
  <c r="C3967" i="1"/>
  <c r="D3967" i="1"/>
  <c r="C3968" i="1"/>
  <c r="D3968" i="1"/>
  <c r="C3969" i="1"/>
  <c r="D3969" i="1"/>
  <c r="C3970" i="1"/>
  <c r="D3970" i="1"/>
  <c r="C3971" i="1"/>
  <c r="D3971" i="1"/>
  <c r="C3972" i="1"/>
  <c r="D3972" i="1"/>
  <c r="C3973" i="1"/>
  <c r="D3973" i="1"/>
  <c r="C3974" i="1"/>
  <c r="D3974" i="1"/>
  <c r="C3975" i="1"/>
  <c r="D3975" i="1"/>
  <c r="C3976" i="1"/>
  <c r="D3976" i="1"/>
  <c r="C3977" i="1"/>
  <c r="D3977" i="1"/>
  <c r="C3978" i="1"/>
  <c r="D3978" i="1"/>
  <c r="C3979" i="1"/>
  <c r="D3979" i="1"/>
  <c r="C3980" i="1"/>
  <c r="D3980" i="1"/>
  <c r="C3981" i="1"/>
  <c r="D3981" i="1"/>
  <c r="C3982" i="1"/>
  <c r="D3982" i="1"/>
  <c r="C3983" i="1"/>
  <c r="D3983" i="1"/>
  <c r="C3984" i="1"/>
  <c r="D3984" i="1"/>
  <c r="C3985" i="1"/>
  <c r="D3985" i="1"/>
  <c r="C3986" i="1"/>
  <c r="D3986" i="1"/>
  <c r="C3987" i="1"/>
  <c r="D3987" i="1"/>
  <c r="C3988" i="1"/>
  <c r="D3988" i="1"/>
  <c r="C3989" i="1"/>
  <c r="D3989" i="1"/>
  <c r="C3990" i="1"/>
  <c r="D3990" i="1"/>
  <c r="C3991" i="1"/>
  <c r="D3991" i="1"/>
  <c r="C3992" i="1"/>
  <c r="D3992" i="1"/>
  <c r="C3993" i="1"/>
  <c r="D3993" i="1"/>
  <c r="C3994" i="1"/>
  <c r="D3994" i="1"/>
  <c r="C3995" i="1"/>
  <c r="D3995" i="1"/>
  <c r="C3996" i="1"/>
  <c r="D3996" i="1"/>
  <c r="C3997" i="1"/>
  <c r="D3997" i="1"/>
  <c r="C3998" i="1"/>
  <c r="D3998" i="1"/>
  <c r="C3999" i="1"/>
  <c r="D3999" i="1"/>
  <c r="C4000" i="1"/>
  <c r="D4000" i="1"/>
  <c r="C4001" i="1"/>
  <c r="D4001" i="1"/>
  <c r="C4002" i="1"/>
  <c r="D4002" i="1"/>
  <c r="C4003" i="1"/>
  <c r="D4003" i="1"/>
  <c r="C4004" i="1"/>
  <c r="D4004" i="1"/>
  <c r="C4005" i="1"/>
  <c r="D4005" i="1"/>
  <c r="C4006" i="1"/>
  <c r="D4006" i="1"/>
  <c r="C4007" i="1"/>
  <c r="D4007" i="1"/>
  <c r="C4008" i="1"/>
  <c r="D4008" i="1"/>
  <c r="C4009" i="1"/>
  <c r="D4009" i="1"/>
  <c r="C4010" i="1"/>
  <c r="D4010" i="1"/>
  <c r="C4011" i="1"/>
  <c r="D4011" i="1"/>
  <c r="C4012" i="1"/>
  <c r="D4012" i="1"/>
  <c r="C4013" i="1"/>
  <c r="D4013" i="1"/>
  <c r="C4014" i="1"/>
  <c r="D4014" i="1"/>
  <c r="C4015" i="1"/>
  <c r="D4015" i="1"/>
  <c r="C4016" i="1"/>
  <c r="D4016" i="1"/>
  <c r="C4017" i="1"/>
  <c r="D4017" i="1"/>
  <c r="C4018" i="1"/>
  <c r="D4018" i="1"/>
  <c r="C4019" i="1"/>
  <c r="D4019" i="1"/>
  <c r="C4020" i="1"/>
  <c r="D4020" i="1"/>
  <c r="C4021" i="1"/>
  <c r="D4021" i="1"/>
  <c r="C4022" i="1"/>
  <c r="D4022" i="1"/>
  <c r="C4023" i="1"/>
  <c r="D4023" i="1"/>
  <c r="C4024" i="1"/>
  <c r="D4024" i="1"/>
  <c r="C4025" i="1"/>
  <c r="D4025" i="1"/>
  <c r="C4026" i="1"/>
  <c r="D4026" i="1"/>
  <c r="C4027" i="1"/>
  <c r="D4027" i="1"/>
  <c r="C4028" i="1"/>
  <c r="D4028" i="1"/>
  <c r="C4029" i="1"/>
  <c r="D4029" i="1"/>
  <c r="C4030" i="1"/>
  <c r="D4030" i="1"/>
  <c r="C4031" i="1"/>
  <c r="D4031" i="1"/>
  <c r="C4032" i="1"/>
  <c r="D4032" i="1"/>
  <c r="C4033" i="1"/>
  <c r="D4033" i="1"/>
  <c r="C4034" i="1"/>
  <c r="D4034" i="1"/>
  <c r="C4035" i="1"/>
  <c r="D4035" i="1"/>
  <c r="C4036" i="1"/>
  <c r="D4036" i="1"/>
  <c r="C4037" i="1"/>
  <c r="D4037" i="1"/>
  <c r="C4038" i="1"/>
  <c r="D4038" i="1"/>
  <c r="C4039" i="1"/>
  <c r="D4039" i="1"/>
  <c r="C4040" i="1"/>
  <c r="D4040" i="1"/>
  <c r="C4041" i="1"/>
  <c r="D4041" i="1"/>
  <c r="C4042" i="1"/>
  <c r="D4042" i="1"/>
  <c r="C4043" i="1"/>
  <c r="D4043" i="1"/>
  <c r="C4044" i="1"/>
  <c r="D4044" i="1"/>
  <c r="C4045" i="1"/>
  <c r="D4045" i="1"/>
  <c r="C4046" i="1"/>
  <c r="D4046" i="1"/>
  <c r="C4047" i="1"/>
  <c r="D4047" i="1"/>
  <c r="C4048" i="1"/>
  <c r="D4048" i="1"/>
  <c r="C4049" i="1"/>
  <c r="D4049" i="1"/>
  <c r="C4050" i="1"/>
  <c r="D4050" i="1"/>
  <c r="C4051" i="1"/>
  <c r="D4051" i="1"/>
  <c r="C4052" i="1"/>
  <c r="D4052" i="1"/>
  <c r="C4053" i="1"/>
  <c r="D4053" i="1"/>
  <c r="C4054" i="1"/>
  <c r="D4054" i="1"/>
  <c r="C4055" i="1"/>
  <c r="D4055" i="1"/>
  <c r="C4056" i="1"/>
  <c r="D4056" i="1"/>
  <c r="C4057" i="1"/>
  <c r="D4057" i="1"/>
  <c r="C4058" i="1"/>
  <c r="D4058" i="1"/>
  <c r="C4059" i="1"/>
  <c r="D4059" i="1"/>
  <c r="C4060" i="1"/>
  <c r="D4060" i="1"/>
  <c r="C4061" i="1"/>
  <c r="D4061" i="1"/>
  <c r="C4062" i="1"/>
  <c r="D4062" i="1"/>
  <c r="C4063" i="1"/>
  <c r="D4063" i="1"/>
  <c r="C4064" i="1"/>
  <c r="D4064" i="1"/>
  <c r="C4065" i="1"/>
  <c r="D4065" i="1"/>
  <c r="C4066" i="1"/>
  <c r="D4066" i="1"/>
  <c r="C4067" i="1"/>
  <c r="D4067" i="1"/>
  <c r="C4068" i="1"/>
  <c r="D4068" i="1"/>
  <c r="C4069" i="1"/>
  <c r="D4069" i="1"/>
  <c r="C4070" i="1"/>
  <c r="D4070" i="1"/>
  <c r="C4071" i="1"/>
  <c r="D4071" i="1"/>
  <c r="C4072" i="1"/>
  <c r="D4072" i="1"/>
  <c r="C4073" i="1"/>
  <c r="D4073" i="1"/>
</calcChain>
</file>

<file path=xl/sharedStrings.xml><?xml version="1.0" encoding="utf-8"?>
<sst xmlns="http://schemas.openxmlformats.org/spreadsheetml/2006/main" count="27474" uniqueCount="14702">
  <si>
    <t>Document ID</t>
  </si>
  <si>
    <t>Title</t>
  </si>
  <si>
    <t>PrintIsbn</t>
  </si>
  <si>
    <t>EIsbn</t>
  </si>
  <si>
    <t>Publisher</t>
  </si>
  <si>
    <t>PublicationDate</t>
  </si>
  <si>
    <t>Authors</t>
  </si>
  <si>
    <t>Subject</t>
  </si>
  <si>
    <t>Lcc</t>
  </si>
  <si>
    <t>Dewey</t>
  </si>
  <si>
    <t>Lcsh</t>
  </si>
  <si>
    <t>Language</t>
  </si>
  <si>
    <t>Full Record URL</t>
  </si>
  <si>
    <t>Witchcraft Narratives in Germany : Rothenburg, 1561-1652</t>
  </si>
  <si>
    <t>Manchester University Press</t>
  </si>
  <si>
    <t>Rowlands, Alison;Bergin, Joseph;Roberts, Penny;Naphy, William G.</t>
  </si>
  <si>
    <t>Philosophy</t>
  </si>
  <si>
    <t>BF1583 -- .R69 2003eb</t>
  </si>
  <si>
    <t>133.4/3/094332</t>
  </si>
  <si>
    <t>Witchcraft -- Germany -- Rothenburg ob der Tauber -- History -- 16th century. ; Witchcraft -- Germany -- Rothenburg ob der Tauber -- History -- 17th century.</t>
  </si>
  <si>
    <t>English</t>
  </si>
  <si>
    <t>https://ebookcentral.proquest.com/lib/iuavit/detail.action?docID=231315</t>
  </si>
  <si>
    <t>Market Relations and the Competitive Process : New Dynamics of Innovation &amp; Competition</t>
  </si>
  <si>
    <t>Metcalfe, Stan;Warde, Alan;Harvey, Mark</t>
  </si>
  <si>
    <t>Social Science; Business/Management</t>
  </si>
  <si>
    <t>HF1414 -- .M367 2002eb</t>
  </si>
  <si>
    <t>Competition. ; International economic relations. ; Economics -- Sociological aspects.</t>
  </si>
  <si>
    <t>https://ebookcentral.proquest.com/lib/iuavit/detail.action?docID=239235</t>
  </si>
  <si>
    <t>The Israeli Response to Jewish Extremism and Violence</t>
  </si>
  <si>
    <t>Pedahzur, Ami;Lawler, Peter;Wilding, Caroline;Guittet, Emmanuel-Pierre</t>
  </si>
  <si>
    <t>Political Science</t>
  </si>
  <si>
    <t>JQ1825.P359 -- P43 2002eb</t>
  </si>
  <si>
    <t>Democracy -- Israel. ; Jewish radicals -- Israel.</t>
  </si>
  <si>
    <t>https://ebookcentral.proquest.com/lib/iuavit/detail.action?docID=242612</t>
  </si>
  <si>
    <t>Aesthetics and Subjectivity : From Kant to Neitzsche</t>
  </si>
  <si>
    <t>Bowie, Andrew</t>
  </si>
  <si>
    <t>BH221.G33 -- B68 2003eb</t>
  </si>
  <si>
    <t>Aesthetics, German -- 18th century. ; Aesthetics, German -- 19th century. ; Aesthetics, Modern -- 18th century. ; Aesthetics, Modern -- 19th century. ; Subjectivity.</t>
  </si>
  <si>
    <t>https://ebookcentral.proquest.com/lib/iuavit/detail.action?docID=242613</t>
  </si>
  <si>
    <t>Innovation by Demand : An Interdisciplinary Approach to the Study of Demand and Its Role in Innovation</t>
  </si>
  <si>
    <t>McMeekin, Andrew;Metcalfe, Stan;Tomlinson, Mark;Harvey, Mark;Green, Ken;Walsh, Vivien</t>
  </si>
  <si>
    <t>Business/Management; Economics</t>
  </si>
  <si>
    <t>HB801 -- .I56 2002eb</t>
  </si>
  <si>
    <t>Consumption (Economics) ; Consumption (Economics) -- Sociological aspects. ; Demand (Economic theory) ; Diffusion of innovations. ; Supply and demand.</t>
  </si>
  <si>
    <t>https://ebookcentral.proquest.com/lib/iuavit/detail.action?docID=242614</t>
  </si>
  <si>
    <t>More Than a Game : The Computer Game As Fictional Form</t>
  </si>
  <si>
    <t>Atkins, Barry</t>
  </si>
  <si>
    <t>Sport &amp;amp; Recreation; Fiction</t>
  </si>
  <si>
    <t>GV1469.17.</t>
  </si>
  <si>
    <t>Computer games - Social aspects</t>
  </si>
  <si>
    <t>https://ebookcentral.proquest.com/lib/iuavit/detail.action?docID=242616</t>
  </si>
  <si>
    <t>Federalism and Democratisation in Russia</t>
  </si>
  <si>
    <t>Ross, Cameron</t>
  </si>
  <si>
    <t>JN6693.5.S8 -- R66 2002eb</t>
  </si>
  <si>
    <t>Federal government -- Russia (Federation) ; Democratization -- Russia (Federation) ; Russia (Federation) -- Politics and government -- 1991-</t>
  </si>
  <si>
    <t>https://ebookcentral.proquest.com/lib/iuavit/detail.action?docID=242617</t>
  </si>
  <si>
    <t>The Ideology of the Extreme Right</t>
  </si>
  <si>
    <t>Mudde, Cas;Ehrlich, Avril</t>
  </si>
  <si>
    <t>JN5981 -- .M83 2000eb</t>
  </si>
  <si>
    <t>324.2/13/09409045</t>
  </si>
  <si>
    <t>Political parties -- Netherlands. ; Right-wing extremists -- Netherlands. ; Political parties -- Germany. ; Right-wing extremists -- Germany. ; Political parties -- Belgium. ; Right-wing extremists -- Belgium. ; Netherlands -- Politics and government -- 1945-</t>
  </si>
  <si>
    <t>https://ebookcentral.proquest.com/lib/iuavit/detail.action?docID=242618</t>
  </si>
  <si>
    <t>The Culture of Toleration in Diverse Societies : Reasonable Tolerance</t>
  </si>
  <si>
    <t>McKinnon, Catriona;Castiglione, Dario</t>
  </si>
  <si>
    <t>Social Science</t>
  </si>
  <si>
    <t>HM1271 -- .C854 2003eb</t>
  </si>
  <si>
    <t>Toleration. ; Cultural pluralism.</t>
  </si>
  <si>
    <t>https://ebookcentral.proquest.com/lib/iuavit/detail.action?docID=242619</t>
  </si>
  <si>
    <t>R. S. Thomas : Identity, Environment, Deity</t>
  </si>
  <si>
    <t>Morgan, Christopher</t>
  </si>
  <si>
    <t>Literature</t>
  </si>
  <si>
    <t>PQ6039.H618 -- Z78 2003eb</t>
  </si>
  <si>
    <t>821.9/14</t>
  </si>
  <si>
    <t>Thomas, R. S. -- (Ronald Stuart), -- 1913-2000 -- Criticism and interpretation. ; Religious poetry, Welsh. ; Literature and science -- Wales.</t>
  </si>
  <si>
    <t>https://ebookcentral.proquest.com/lib/iuavit/detail.action?docID=242620</t>
  </si>
  <si>
    <t>Theory and Reform in the EU</t>
  </si>
  <si>
    <t>Chryssochoou, Dimitris N.;Stavridis, Stelios;Tsinisizelis, Michael J.;Ifantis, Kostas;Kirchner, Emil;Christiansen, Thomas;Potter, Marion</t>
  </si>
  <si>
    <t>HC241 -- .T468 2003eb</t>
  </si>
  <si>
    <t>337.1/42</t>
  </si>
  <si>
    <t>National security -- European Union countries. ; Europe -- Economic integration. ; European Union countries -- Economic policy.</t>
  </si>
  <si>
    <t>https://ebookcentral.proquest.com/lib/iuavit/detail.action?docID=242622</t>
  </si>
  <si>
    <t>Implementing International Environmental Agreements in Russia</t>
  </si>
  <si>
    <t>Hønneland, Geir;Anderssen, Mikael;Jorgensen, Anne-Kristen;Liefferink, Duncan</t>
  </si>
  <si>
    <t>Environmental Studies</t>
  </si>
  <si>
    <t>GE190.R8 -- H66 2003eb</t>
  </si>
  <si>
    <t>363.7/056/0947</t>
  </si>
  <si>
    <t>Environmental policy -- Russia, Northwestern. ; Environmental policy -- Russia, Northwestern -- International cooperation. ; Environmental law, International.</t>
  </si>
  <si>
    <t>https://ebookcentral.proquest.com/lib/iuavit/detail.action?docID=242623</t>
  </si>
  <si>
    <t>The Politics Today Companion to West European Politics</t>
  </si>
  <si>
    <t>Jones, Bill;Roberts, Geoffrey;Hogwood, Patricia</t>
  </si>
  <si>
    <t>JN94.A58 -- R6 2003eb</t>
  </si>
  <si>
    <t>Europe, Western -- Politics and government -- 1989- -- Handbooks, manuals, etc.</t>
  </si>
  <si>
    <t>https://ebookcentral.proquest.com/lib/iuavit/detail.action?docID=242624</t>
  </si>
  <si>
    <t>Samuel Beckett and the Primacy of Love</t>
  </si>
  <si>
    <t>Keller, John Robert</t>
  </si>
  <si>
    <t>PR6003.E282 -- Z75395 2002eb</t>
  </si>
  <si>
    <t>848/.91409</t>
  </si>
  <si>
    <t>Beckett, Samuel, -- 1906-1989 -- Criticism and interpretation. ; Love in literature. ; Psychoanalysis and literature -- France. ; Psychoanalysis and literature -- Ireland.</t>
  </si>
  <si>
    <t>https://ebookcentral.proquest.com/lib/iuavit/detail.action?docID=242625</t>
  </si>
  <si>
    <t>A War of Individuals : Bloomsbury Attitudes to the Great War</t>
  </si>
  <si>
    <t>Atkin, Jonathan</t>
  </si>
  <si>
    <t>History; Literature</t>
  </si>
  <si>
    <t>D639.P88 -- A75 2002eb</t>
  </si>
  <si>
    <t>820.9/358</t>
  </si>
  <si>
    <t>Bloomsbury group. ; World War, 1914-1918 -- Public opinion. ; World War, 1914-1918 -- Literature and the war.</t>
  </si>
  <si>
    <t>https://ebookcentral.proquest.com/lib/iuavit/detail.action?docID=242626</t>
  </si>
  <si>
    <t>Republican Learning : John Toland and the Crisis of Christian Culture, 1696-1722</t>
  </si>
  <si>
    <t>Champion, Justin;Lake, Peter;Milton, Anthony;Peacey, Jason;Gajda, Alexandra</t>
  </si>
  <si>
    <t>Philosophy; History</t>
  </si>
  <si>
    <t>B1393.Z7 -- C47 2003eb</t>
  </si>
  <si>
    <t>Toland, John, -- 1670-1722. ; Philosophers -- 18th century.</t>
  </si>
  <si>
    <t>https://ebookcentral.proquest.com/lib/iuavit/detail.action?docID=242627</t>
  </si>
  <si>
    <t>Gender at Stake : Male Witches in Early Modern Europe</t>
  </si>
  <si>
    <t>Apps, Lara;Gow, Andrew Colin</t>
  </si>
  <si>
    <t>BF1584.E85 -- A66 2003eb</t>
  </si>
  <si>
    <t>133.4/081094</t>
  </si>
  <si>
    <t>Witchcraft -- Europe -- History. ; Warlocks -- Europe -- History.</t>
  </si>
  <si>
    <t>https://ebookcentral.proquest.com/lib/iuavit/detail.action?docID=242628</t>
  </si>
  <si>
    <t>Postcolonial Contraventions : Cultural Readings of Race, Imperalism and Transnationalism</t>
  </si>
  <si>
    <t>Chrisman, Laura</t>
  </si>
  <si>
    <t>Political Science; Social Science</t>
  </si>
  <si>
    <t>JV51 -- .C55 2003eb</t>
  </si>
  <si>
    <t>Colonies. ; Decolonization. ; Postcolonialism.</t>
  </si>
  <si>
    <t>https://ebookcentral.proquest.com/lib/iuavit/detail.action?docID=242629</t>
  </si>
  <si>
    <t>Globalisation Contested : An International Political Economy of Work</t>
  </si>
  <si>
    <t>Amoore, Louise</t>
  </si>
  <si>
    <t>Business/Management; Social Science</t>
  </si>
  <si>
    <t>HF1418.5 -- .A48 2002eb</t>
  </si>
  <si>
    <t>306.3/6</t>
  </si>
  <si>
    <t>International economic integration -- Social aspects. ; Globalization -- Social aspects. ; Work.</t>
  </si>
  <si>
    <t>https://ebookcentral.proquest.com/lib/iuavit/detail.action?docID=242630</t>
  </si>
  <si>
    <t>Understanding British and European Political Issues</t>
  </si>
  <si>
    <t>McNaughton, Neil</t>
  </si>
  <si>
    <t>JN231 -- .M39 2003eb</t>
  </si>
  <si>
    <t>320/.6/0941</t>
  </si>
  <si>
    <t>Great Britain -- Economic conditions -- 20th century. ; Great Britain -- Politics and government -- 1945- ; Great Britain -- Social conditions -- 1945-</t>
  </si>
  <si>
    <t>https://ebookcentral.proquest.com/lib/iuavit/detail.action?docID=242631</t>
  </si>
  <si>
    <t>George III : King and Politicians 1760-1770</t>
  </si>
  <si>
    <t>Thomas, Peter</t>
  </si>
  <si>
    <t>History</t>
  </si>
  <si>
    <t>DA506.A2 -- T47 2002eb</t>
  </si>
  <si>
    <t>941.07/3/092 B</t>
  </si>
  <si>
    <t>George</t>
  </si>
  <si>
    <t>https://ebookcentral.proquest.com/lib/iuavit/detail.action?docID=242633</t>
  </si>
  <si>
    <t>The International Politics of the Middle East</t>
  </si>
  <si>
    <t>Hinnebusch, Raymond</t>
  </si>
  <si>
    <t>History; Political Science</t>
  </si>
  <si>
    <t>DS631</t>
  </si>
  <si>
    <t>Middle East - Politics and government - 1979-</t>
  </si>
  <si>
    <t>https://ebookcentral.proquest.com/lib/iuavit/detail.action?docID=242634</t>
  </si>
  <si>
    <t>Half the Battle : Civilian Morale in Britain During the Second World War</t>
  </si>
  <si>
    <t>Mackay, Robert</t>
  </si>
  <si>
    <t>D759 -- .M24 2002eb</t>
  </si>
  <si>
    <t>940.53/41</t>
  </si>
  <si>
    <t>World War, 1939-1945 -- Great Britain. ; World War, 1939-1945 -- Social aspects -- Great Britain. ; Great Britain -- Social life and customs -- 1918-1945.</t>
  </si>
  <si>
    <t>https://ebookcentral.proquest.com/lib/iuavit/detail.action?docID=242635</t>
  </si>
  <si>
    <t>The United States Congress</t>
  </si>
  <si>
    <t>English, Ross</t>
  </si>
  <si>
    <t>JK1021 -- .E54 2003eb</t>
  </si>
  <si>
    <t>United States. -- Congress.</t>
  </si>
  <si>
    <t>https://ebookcentral.proquest.com/lib/iuavit/detail.action?docID=242636</t>
  </si>
  <si>
    <t>Fragmenting Modernism : Ford Madox Ford, the Novel and the Great War</t>
  </si>
  <si>
    <t>Haslam, Sara</t>
  </si>
  <si>
    <t>Literature; Fiction</t>
  </si>
  <si>
    <t>PR6011.O53 -- Z65 2002eb</t>
  </si>
  <si>
    <t>Ford, Ford Madox, -- 1873-1939 -- Criticism and interpretation. ; Ford, Ford Madox, -- 1873-1939 -- Views on war. ; Modernism (Literature) -- Great Britain. ; War stories, English -- History and criticism. ; World War, 1914-1918 -- Great Britain -- Literature and the war.</t>
  </si>
  <si>
    <t>https://ebookcentral.proquest.com/lib/iuavit/detail.action?docID=242637</t>
  </si>
  <si>
    <t>The Asian Financial Crisis : Crisis, Reform and Recovery</t>
  </si>
  <si>
    <t>Sharma, Shalendra</t>
  </si>
  <si>
    <t>Economics; Business/Management</t>
  </si>
  <si>
    <t>HC412 -- .S47 2003eb</t>
  </si>
  <si>
    <t>Financial crises -- Asia. ; Asia -- Economic conditions -- 1945- ; Asia -- Economic policy.</t>
  </si>
  <si>
    <t>https://ebookcentral.proquest.com/lib/iuavit/detail.action?docID=242638</t>
  </si>
  <si>
    <t>Noblewomen, Aristocracy and Power in the Twelfth-Century Anglo-Norman Realm</t>
  </si>
  <si>
    <t>Johns, Susan M.;Sharpe, Pamela;Summerfield, Penny;Abrams, Lynn;Beattie, Cordelia</t>
  </si>
  <si>
    <t>HQ1599.E5 -- J64 2003eb</t>
  </si>
  <si>
    <t>306/.0941</t>
  </si>
  <si>
    <t>Women -- Great Britain -- History. ; Aristocracy (Social class) -- Social class.</t>
  </si>
  <si>
    <t>https://ebookcentral.proquest.com/lib/iuavit/detail.action?docID=242640</t>
  </si>
  <si>
    <t>Fifteen into One? : The European Union and Its Member States</t>
  </si>
  <si>
    <t>Papadimitriou, Dimitris;Bulmer, Simon;Geddes, Andrew;Humphreys, Peter;Wessels, Wolfgang;Maurer, Andreas;Mittag, Juergen</t>
  </si>
  <si>
    <t>Business/Management; Law</t>
  </si>
  <si>
    <t>HC241 -- .F48 2003eb</t>
  </si>
  <si>
    <t>341.242/2</t>
  </si>
  <si>
    <t>European federation. ; European Union countries -- Economic conditions. ; Europe -- Economic integration. ; Europe -- Politics and government -- 1989-</t>
  </si>
  <si>
    <t>https://ebookcentral.proquest.com/lib/iuavit/detail.action?docID=242642</t>
  </si>
  <si>
    <t>Special Relationships : Anglo-American Affinities and Antagonisms 1854-1936</t>
  </si>
  <si>
    <t>Beer, Janet;Bennett, Bridget</t>
  </si>
  <si>
    <t>PS159.E5S64 2002</t>
  </si>
  <si>
    <t>American literature -- History and criticism. ; English literature -- 19th century -- History and criticism. ; English literature -- 20th century -- History and criticism. ; Comparative literature -- American and English. ; Comparative literature -- English and American. ; American literature -- English influences. ; English literature -- American influences.</t>
  </si>
  <si>
    <t>https://ebookcentral.proquest.com/lib/iuavit/detail.action?docID=242643</t>
  </si>
  <si>
    <t>Political Concepts</t>
  </si>
  <si>
    <t>Bellamy, Richard;Mason, Andrew;O'Kelly, Ciaran</t>
  </si>
  <si>
    <t>JA66 -- .P614 2003eb</t>
  </si>
  <si>
    <t>320/.01</t>
  </si>
  <si>
    <t>Political science.</t>
  </si>
  <si>
    <t>https://ebookcentral.proquest.com/lib/iuavit/detail.action?docID=242644</t>
  </si>
  <si>
    <t>Francis Bacon's New Atlantis : New Interdisciplinary Essays</t>
  </si>
  <si>
    <t>Wallace, Jeff;Whale, John;Price, Bronwen</t>
  </si>
  <si>
    <t>PR2207.N48 -- F73 2002eb</t>
  </si>
  <si>
    <t>Bacon, Francis, -- 1561-1626. -- New Atlantis. ; English literature -- History and criticism.</t>
  </si>
  <si>
    <t>https://ebookcentral.proquest.com/lib/iuavit/detail.action?docID=242646</t>
  </si>
  <si>
    <t>The New Aestheticism</t>
  </si>
  <si>
    <t>Joughin, John J.;Malpas, Simon;Hargreaves, Martin</t>
  </si>
  <si>
    <t>BH39 -- .N47 2003eb</t>
  </si>
  <si>
    <t>111/.85</t>
  </si>
  <si>
    <t>Aesthetics. ; Criticism.</t>
  </si>
  <si>
    <t>https://ebookcentral.proquest.com/lib/iuavit/detail.action?docID=242647</t>
  </si>
  <si>
    <t>Women's Writing in Contemporary France : New Writers, New Literatures in The 1990s</t>
  </si>
  <si>
    <t>Rye, Gill;Worton, Michael</t>
  </si>
  <si>
    <t>PQ149$b.W645 2002</t>
  </si>
  <si>
    <t>840.9/9287</t>
  </si>
  <si>
    <t>French literature - 20th century -</t>
  </si>
  <si>
    <t>https://ebookcentral.proquest.com/lib/iuavit/detail.action?docID=242649</t>
  </si>
  <si>
    <t>The End of Irish History? : Reflections on the Celtic Tiger</t>
  </si>
  <si>
    <t>Coulter, Colin;Coleman, Steve</t>
  </si>
  <si>
    <t>DA963 -- .E53 2003eb</t>
  </si>
  <si>
    <t>Macroeconomics -- Ireland. ; Ireland -- History -- 1922- ; Ireland -- Civilization -- 20th century. ; Ireland -- Economic conditions -- 1949- ; Ireland -- Social conditions -- 1973-</t>
  </si>
  <si>
    <t>https://ebookcentral.proquest.com/lib/iuavit/detail.action?docID=242650</t>
  </si>
  <si>
    <t>Redefining Security in the Middle East</t>
  </si>
  <si>
    <t>Lawler, Peter;Jacoby, Tami;Sasley, Brent;Guittet, Emmanuel-Pierre</t>
  </si>
  <si>
    <t>Military Science</t>
  </si>
  <si>
    <t>UA832 -- .R435 2002eb</t>
  </si>
  <si>
    <t>National security -- Middle East -- Congresses. ; Middle East -- Politics and government -- 1979- -- Congresses.</t>
  </si>
  <si>
    <t>https://ebookcentral.proquest.com/lib/iuavit/detail.action?docID=242651</t>
  </si>
  <si>
    <t>Mapping European Security after Kosovo</t>
  </si>
  <si>
    <t>Van Ham, Peter;Medvedev, Sergei</t>
  </si>
  <si>
    <t>D860 -- .M365 2002eb</t>
  </si>
  <si>
    <t>North Atlantic Treaty Organization. ; National security -- Europe. ; Nationalism -- Europe. ; Kosovo War, 1998-1999. ; Kosovo (Republic) -- Ethnic relations.</t>
  </si>
  <si>
    <t>https://ebookcentral.proquest.com/lib/iuavit/detail.action?docID=242652</t>
  </si>
  <si>
    <t>Potentials of Disorder : Explaining Conflict and Stability in the Caucasus and in the Former Yugoslavia</t>
  </si>
  <si>
    <t>Koehler, Jan;Koehler, Jan</t>
  </si>
  <si>
    <t>History; Geography/Travel</t>
  </si>
  <si>
    <t>DJK51 -- .P69 2003eb</t>
  </si>
  <si>
    <t>904/.09717</t>
  </si>
  <si>
    <t>Ethnic conflict -- Europe, Eastern. ; Europe, Eastern -- Politics and government -- 1989- ; Europe, Eastern -- Ethnic relations.</t>
  </si>
  <si>
    <t>https://ebookcentral.proquest.com/lib/iuavit/detail.action?docID=242653</t>
  </si>
  <si>
    <t>Judicial Tribunals in England and Europe, 1200-1700 : The Trial in History, Volume I</t>
  </si>
  <si>
    <t>Mulholland, Maureen;Pullan, Brian</t>
  </si>
  <si>
    <t>Law</t>
  </si>
  <si>
    <t>KD370 -- .T75 v.1 2003eb</t>
  </si>
  <si>
    <t>347.0709;347.4207</t>
  </si>
  <si>
    <t>Trials -- England -- History. ; Trials -- Europe -- History. ; Ecclesiastical courts -- England -- History. ; Ecclesiastical courts -- Europe -- History. ; Administrative courts -- England -- History. ; Administrative courts -- Europe -- History.</t>
  </si>
  <si>
    <t>https://ebookcentral.proquest.com/lib/iuavit/detail.action?docID=242655</t>
  </si>
  <si>
    <t>Memory and Popular Film</t>
  </si>
  <si>
    <t>Jancovich, Mark;Grainge, Paul;Schaefer, Eric</t>
  </si>
  <si>
    <t>Fine Arts</t>
  </si>
  <si>
    <t>PN1993.5.U6 -- M38 2003eb</t>
  </si>
  <si>
    <t>791.43/75</t>
  </si>
  <si>
    <t>Motion pictures -- United States. ; Motion pictures -- Social aspects -- United States.</t>
  </si>
  <si>
    <t>https://ebookcentral.proquest.com/lib/iuavit/detail.action?docID=242656</t>
  </si>
  <si>
    <t>Domestic and International Trials, 1700-2000 : The trial in history, vol. II</t>
  </si>
  <si>
    <t>Melikan, Rose</t>
  </si>
  <si>
    <t>KD370 -- .D66 2003eb</t>
  </si>
  <si>
    <t>347.0709;347.420709</t>
  </si>
  <si>
    <t>Justice, Administration of -- England -- History. ; Trials -- England. ; Trials -- Europe. ; War crime trials.</t>
  </si>
  <si>
    <t>https://ebookcentral.proquest.com/lib/iuavit/detail.action?docID=242657</t>
  </si>
  <si>
    <t>British Cinema of The 1950s : A Celebration</t>
  </si>
  <si>
    <t>Mackillop, Ian;Sinyard, Neil</t>
  </si>
  <si>
    <t>PN1993.5. G7 -- M263 2003eb</t>
  </si>
  <si>
    <t>791.43/0941/09045</t>
  </si>
  <si>
    <t>Motion pictures -- Great Britain -- History.</t>
  </si>
  <si>
    <t>https://ebookcentral.proquest.com/lib/iuavit/detail.action?docID=242658</t>
  </si>
  <si>
    <t>The Public Life of the Fetal Sonogram : Technology, Consumption, and the Politics of Reproduction</t>
  </si>
  <si>
    <t>Rutgers University Press</t>
  </si>
  <si>
    <t>Taylor, Janelle S.</t>
  </si>
  <si>
    <t>Medicine</t>
  </si>
  <si>
    <t>RG628</t>
  </si>
  <si>
    <t>https://ebookcentral.proquest.com/lib/iuavit/detail.action?docID=361675</t>
  </si>
  <si>
    <t>Managing Technologies and Automated Library Systems in Developing Countries: Open Source vs Commercial Options : Proceedings of the IFLA Pre-Conference Satellite Meeting Dakar, Sénégal, August 15-16 2007</t>
  </si>
  <si>
    <t>De Gruyter, Inc.</t>
  </si>
  <si>
    <t>Dione, Bernard;Savard, Réjean;Savard, Réjean</t>
  </si>
  <si>
    <t>Library Science</t>
  </si>
  <si>
    <t>Z678.9.A1M36 2008</t>
  </si>
  <si>
    <t>Integrated library systems (Computer systems) -- Developing countries -- Congresses. ; Libraries -- Automation -- Congresses.</t>
  </si>
  <si>
    <t>https://ebookcentral.proquest.com/lib/iuavit/detail.action?docID=364700</t>
  </si>
  <si>
    <t>Measuring Quality : Performance Measurement in Libraries. 2nd Revised Edition</t>
  </si>
  <si>
    <t>Poll, Roswitha;te Boekhorst, Peter;Mundt, Sebastian</t>
  </si>
  <si>
    <t>Z675.U5P78 2007</t>
  </si>
  <si>
    <t>Academic libraries -- Evaluation. ; Public libraries -- Evaluation.</t>
  </si>
  <si>
    <t>https://ebookcentral.proquest.com/lib/iuavit/detail.action?docID=370720</t>
  </si>
  <si>
    <t>Libraries and Information Services Towards the Attainment of the un Millennium Development Goals</t>
  </si>
  <si>
    <t>Njobvu, Benson;Koopman, Sjoerd;Njobvu, Benson</t>
  </si>
  <si>
    <t>ZA3159.A357L52 2008</t>
  </si>
  <si>
    <t>UN Millennium Project. ; Libraries -- Africa, Sub-Saharan -- Congresses. ; Information services -- Africa, Sub-Saharan -- Congresses. ; Libraries and community -- Africa, Sub-Saharan -- Congresses. ; Economic development -- Africa, Sub-Saharan -- Congresses.</t>
  </si>
  <si>
    <t>https://ebookcentral.proquest.com/lib/iuavit/detail.action?docID=429245</t>
  </si>
  <si>
    <t>Kaiser Julian 'Apostata' und Die Philosophische Reaktion Gegen das Christentum</t>
  </si>
  <si>
    <t>Schäfer, Christian;Schäfer, Christian</t>
  </si>
  <si>
    <t>History; Religion</t>
  </si>
  <si>
    <t>DG317.K35 2008</t>
  </si>
  <si>
    <t>Julian, -- Emperor of Rome, -- 331-363 -- Philosophy -- Congresses. ; Neoplatonism -- Congresses.</t>
  </si>
  <si>
    <t>German</t>
  </si>
  <si>
    <t>https://ebookcentral.proquest.com/lib/iuavit/detail.action?docID=429396</t>
  </si>
  <si>
    <t>Inzestverbot und Gesetzgebung : Die Konstruktion Eines Verbrechens (300-1100)</t>
  </si>
  <si>
    <t>Ubl, Karl</t>
  </si>
  <si>
    <t>HV6570.6.U25 2008</t>
  </si>
  <si>
    <t>Incest -- Law and legislation -- History. ; Consanguinity (Canon law) -- History.</t>
  </si>
  <si>
    <t>https://ebookcentral.proquest.com/lib/iuavit/detail.action?docID=429425</t>
  </si>
  <si>
    <t>Global Library and Information Science : A Textbook for Students and Educators. with Contributions from Africa, Asia, Australia, New Zealand, Europe, Latin America and the Carribean, the Middle East, and North America</t>
  </si>
  <si>
    <t>Abdullahi, Ismail</t>
  </si>
  <si>
    <t>Z721.G56 2009</t>
  </si>
  <si>
    <t>Comparative librarianship. ; International librarianship. ; Libraries.</t>
  </si>
  <si>
    <t>https://ebookcentral.proquest.com/lib/iuavit/detail.action?docID=453791</t>
  </si>
  <si>
    <t>Library Statistics for the Twenty-First Century World : Proceedings of the Conference Held in Montréal on 18-19 August 2008 Reporting on the Global Library Statistics Project</t>
  </si>
  <si>
    <t>Heaney, Michael</t>
  </si>
  <si>
    <t>Z669.8.L53 2009</t>
  </si>
  <si>
    <t>Library statistics -- Congresses. ; Library science -- Congresses.</t>
  </si>
  <si>
    <t>https://ebookcentral.proquest.com/lib/iuavit/detail.action?docID=453858</t>
  </si>
  <si>
    <t>Umstrittene Vergangenheit : Historische Argumente in der Auseinandersetzung Augustins Mit Den Donatisten</t>
  </si>
  <si>
    <t>Hogrefe, Arne</t>
  </si>
  <si>
    <t>Religion</t>
  </si>
  <si>
    <t>BR65.A9H64 2009</t>
  </si>
  <si>
    <t>Donatists. ; Christian heresies -- History -- Early church, ca. 30-600.</t>
  </si>
  <si>
    <t>https://ebookcentral.proquest.com/lib/iuavit/detail.action?docID=453870</t>
  </si>
  <si>
    <t>Strategies for Regenerating the Library and Information Profession</t>
  </si>
  <si>
    <t>Varlejs, Jana;Walton, Graham;Walton, Graham</t>
  </si>
  <si>
    <t>Z668.W665 2009</t>
  </si>
  <si>
    <t>Librarians -- Education (Continuing education) -- Congresses. ; Information scientists -- Education (Continuing education) -- Congresses. ; Library science -- Congresses. ; Information science -- Congresses. ; Career development -- Congresses.</t>
  </si>
  <si>
    <t>https://ebookcentral.proquest.com/lib/iuavit/detail.action?docID=453986</t>
  </si>
  <si>
    <t>Jenseits der Grenzen : Beiträge Zur Spätantiken und Frühmittelalterlichen Geschichtsschreibung</t>
  </si>
  <si>
    <t>Goltz, Andreas;Leppin, Hartmut;Schlange-Schöningen, Heinrich;Schlange-Schöningen, Heinrich</t>
  </si>
  <si>
    <t>D13.J46 2009</t>
  </si>
  <si>
    <t>Historiography -- Germany -- History. ; Germany -- History.</t>
  </si>
  <si>
    <t>https://ebookcentral.proquest.com/lib/iuavit/detail.action?docID=511791</t>
  </si>
  <si>
    <t>Theodor Heuss, Aufbruch Im Kaiserreich : Briefe 1892-1917</t>
  </si>
  <si>
    <t xml:space="preserve">Günther, Frieder;Günther, Frieder;Gunther, Frieder </t>
  </si>
  <si>
    <t>DD259.7.H4A4 2009</t>
  </si>
  <si>
    <t>Heuss, Theodor, -- 1884-1963. -- Correspondence. ; Presidents -- Germany (West) -- Correspondence. ; Germany (West) -- Politics and government. ; Germany (West) -- History -- Sources.</t>
  </si>
  <si>
    <t>https://ebookcentral.proquest.com/lib/iuavit/detail.action?docID=511812</t>
  </si>
  <si>
    <t>Guidelines for Legislative Libraries : 2nd, Completely Updated and Enlarged Edition</t>
  </si>
  <si>
    <t>Cuninghame, Keith</t>
  </si>
  <si>
    <t>Z675.L45C865 2009</t>
  </si>
  <si>
    <t>Legislative libraries. ; Government libraries.</t>
  </si>
  <si>
    <t>https://ebookcentral.proquest.com/lib/iuavit/detail.action?docID=511856</t>
  </si>
  <si>
    <t>The History and Cultural Heritage of Chinese Calligraphy, Printing and Library Work</t>
  </si>
  <si>
    <t>Allen, Susan M.;Zuzao, Lin;Xiaolan, Cheng;Bos, Jan</t>
  </si>
  <si>
    <t>NK3634.A18H57 2010</t>
  </si>
  <si>
    <t>Calligraphy, Chinese -- History.</t>
  </si>
  <si>
    <t>https://ebookcentral.proquest.com/lib/iuavit/detail.action?docID=516519</t>
  </si>
  <si>
    <t>Erzbischof Hinkmar und Die Folgen : Der Vierhundertjährige Weg Historischer Erinnerungsbilder Von Reims Nach Trier</t>
  </si>
  <si>
    <t>Schneider, Olaf</t>
  </si>
  <si>
    <t>BR163.S36 2010</t>
  </si>
  <si>
    <t>History.</t>
  </si>
  <si>
    <t>https://ebookcentral.proquest.com/lib/iuavit/detail.action?docID=533665</t>
  </si>
  <si>
    <t>Hochverehrter Herr Bundespräsident! : Der Briefwechsel Mit der Bevölkerung 1949 - 1959</t>
  </si>
  <si>
    <t>Heuss, Theodor;Werner, Wolfram</t>
  </si>
  <si>
    <t>DD259.7.H4A4 2010</t>
  </si>
  <si>
    <t>Heuss, Theodor, -- 1884-1963. -- Correspondence. ; Statesmen -- Germany -- Correspondence.</t>
  </si>
  <si>
    <t>https://ebookcentral.proquest.com/lib/iuavit/detail.action?docID=548102</t>
  </si>
  <si>
    <t>Social Science Libraries : Interdisciplinary Collections, Services, Networks</t>
  </si>
  <si>
    <t>Walter de Gruyter GmbH</t>
  </si>
  <si>
    <t>Witt, Steve W.;Rudasill, Lynne M.</t>
  </si>
  <si>
    <t>Z675.S6 -- S63 2010eb</t>
  </si>
  <si>
    <t>Social science libraries. ; Interdisciplinary research.</t>
  </si>
  <si>
    <t>https://ebookcentral.proquest.com/lib/iuavit/detail.action?docID=555752</t>
  </si>
  <si>
    <t>IFLA Public Library Service Guidelines</t>
  </si>
  <si>
    <t>Koontz, Christie;Gubbin, Barbara</t>
  </si>
  <si>
    <t>General Works/Reference; Library Science</t>
  </si>
  <si>
    <t>Z68.85.I575 2010</t>
  </si>
  <si>
    <t>Public libraries -- Standards. ; Public libraries -- Administration. ; Public libraries -- Aims and objectives.</t>
  </si>
  <si>
    <t>https://ebookcentral.proquest.com/lib/iuavit/detail.action?docID=570584</t>
  </si>
  <si>
    <t>A History of the University of Manchester, 1973-90</t>
  </si>
  <si>
    <t>Pullan, Brian;Abendstern, Michele</t>
  </si>
  <si>
    <t>Education</t>
  </si>
  <si>
    <t>LF455 .P85 2004</t>
  </si>
  <si>
    <t>378.32/733</t>
  </si>
  <si>
    <t>University of Manchester -- History -- 20th century. ; College students -- History -- 20th century.</t>
  </si>
  <si>
    <t>https://ebookcentral.proquest.com/lib/iuavit/detail.action?docID=589292</t>
  </si>
  <si>
    <t>Changing Anarchism : Anarchist Theory and Practice in a Global Age</t>
  </si>
  <si>
    <t>Purkis, Jonathan;Bowen, James</t>
  </si>
  <si>
    <t>Economics; Social Science</t>
  </si>
  <si>
    <t>HX833 -- .C455 2004eb</t>
  </si>
  <si>
    <t>Anarchism.</t>
  </si>
  <si>
    <t>https://ebookcentral.proquest.com/lib/iuavit/detail.action?docID=589293</t>
  </si>
  <si>
    <t>Understanding Political Ideas and Movements</t>
  </si>
  <si>
    <t>Harrison, Kevin;Boyd, Tony;Watts Writers Ltd</t>
  </si>
  <si>
    <t>JA81 -- .H32 2003eb</t>
  </si>
  <si>
    <t>Political science -- History. ; Ideology. ; Right and left (Political science)</t>
  </si>
  <si>
    <t>https://ebookcentral.proquest.com/lib/iuavit/detail.action?docID=589294</t>
  </si>
  <si>
    <t>Rethinking European Union Foreign Policy</t>
  </si>
  <si>
    <t>Tonra, Ben;Christiansen, Thomas</t>
  </si>
  <si>
    <t>JZ1570.A5 -- R48 2004eb</t>
  </si>
  <si>
    <t>Aron, Wendy -- Mental health. ; Depressed persons -- United States -- Biography. ; Women television writers -- United States -- Biography.</t>
  </si>
  <si>
    <t>https://ebookcentral.proquest.com/lib/iuavit/detail.action?docID=589295</t>
  </si>
  <si>
    <t>Witchcraft Continued : Popular Magic in Modern Europe</t>
  </si>
  <si>
    <t>de Blécourt, Willem;Davies, Owen</t>
  </si>
  <si>
    <t>BF1584.E85 -- W58 2004eb</t>
  </si>
  <si>
    <t>Mothers and daughters. ; Care of the sick. ; Caregivers.</t>
  </si>
  <si>
    <t>https://ebookcentral.proquest.com/lib/iuavit/detail.action?docID=589296</t>
  </si>
  <si>
    <t>EU Development Cooperation : From Model to Symbol</t>
  </si>
  <si>
    <t>Arts, Karin;Dickson, Anna;Dickson, Anna K.</t>
  </si>
  <si>
    <t>HC240.25.D44 -- E82 2004eb</t>
  </si>
  <si>
    <t>338.91/401724</t>
  </si>
  <si>
    <t>European Union -- Developing countries. ; Economic assistance, European.</t>
  </si>
  <si>
    <t>https://ebookcentral.proquest.com/lib/iuavit/detail.action?docID=589298</t>
  </si>
  <si>
    <t>Interpreting the Labour Party : Approaches to Labour Politics and History</t>
  </si>
  <si>
    <t>Callaghan, John;Fielding, Steven;Ludlam, Steve;Wilding, Caroline</t>
  </si>
  <si>
    <t>JN1129.L32 -- I58 2003eb</t>
  </si>
  <si>
    <t>Labour Party (Great Britain) -- History -- Congresses. ; Political science.</t>
  </si>
  <si>
    <t>https://ebookcentral.proquest.com/lib/iuavit/detail.action?docID=589299</t>
  </si>
  <si>
    <t>Equal Subjects, Unequal Rights : Indigenous People in British Settler Colonies, 1830-1910</t>
  </si>
  <si>
    <t>Evans, Julie;Grimshaw, Patricia;Swain, Shurlee;Thompson, Andrew;MacKenzie, John M.;Philips, David</t>
  </si>
  <si>
    <t>JV1035 -- .E78 2003eb</t>
  </si>
  <si>
    <t>323.11/09171</t>
  </si>
  <si>
    <t>Indigenous peoples -- Great Britain -- Colonies -- History -- 19th century. ; Indigenous peoples -- Great Britain -- Colonies -- History -- 20th century. ; Indigenous peoples -- Great Britain -- Colonies -- Politics and government -- 19th century. ; Indigenous peoples -- Great Britain -- Colonies -- Politics and government -- 20th century. ; British -- Foreign countries -- History. ; Great Britain -- Colonies -- Race relations.</t>
  </si>
  <si>
    <t>https://ebookcentral.proquest.com/lib/iuavit/detail.action?docID=589300</t>
  </si>
  <si>
    <t>Limiting Institutions? : The Challenge of Eurasian Security Governance</t>
  </si>
  <si>
    <t>Hargreaves, Martin;Sperling, James;Kay, Sean;Papacosma, Victor</t>
  </si>
  <si>
    <t>History; Military Science</t>
  </si>
  <si>
    <t>DK293 -- .L56 2003eb</t>
  </si>
  <si>
    <t>355/.033047</t>
  </si>
  <si>
    <t>National security -- Former Soviet republics. ; Geopolitics -- Former Soviet republics. ; Former Soviet republics -- Politics and government. ; Europe -- Foreign relations -- Former Soviet republics. ; Former Soviet republics -- Foreign relations -- Europe. ; Europe -- Politics and government -- 1989-</t>
  </si>
  <si>
    <t>https://ebookcentral.proquest.com/lib/iuavit/detail.action?docID=589301</t>
  </si>
  <si>
    <t>Luther's Lives : Two Contemporary Accounts of Martin Luther</t>
  </si>
  <si>
    <t>Vandiver, Elizabeth;Keen, Ralph;Frazel, Thomas D.</t>
  </si>
  <si>
    <t>BR325 -- .L84 2002eb</t>
  </si>
  <si>
    <t>284.1/092 B</t>
  </si>
  <si>
    <t>Luther, Martin, -- 1483-1546. ; Reformation -- Germany -- Biography.</t>
  </si>
  <si>
    <t>https://ebookcentral.proquest.com/lib/iuavit/detail.action?docID=589302</t>
  </si>
  <si>
    <t>The Poor in England 1700-1850 : An Economy of Makeshifts</t>
  </si>
  <si>
    <t>Tomkins, Alannah;King, Steve</t>
  </si>
  <si>
    <t>HC260.P6 -- P66 2003eb</t>
  </si>
  <si>
    <t>Charity -- England -- History. ; Income -- England -- History. ; Poor -- England -- History. ; Public welfare -- England -- History. ; Social networks -- England -- History.</t>
  </si>
  <si>
    <t>https://ebookcentral.proquest.com/lib/iuavit/detail.action?docID=589303</t>
  </si>
  <si>
    <t>The Kosovo Crisis and the Evolution of a Post-Cold War European Security : The Evolution of Post Cold War European Security</t>
  </si>
  <si>
    <t>Smith, Martin A.;Latawski, Paul</t>
  </si>
  <si>
    <t>DJK51 .L376 2003</t>
  </si>
  <si>
    <t>North Atlantic Treaty Organization -- Kosovo (Republic) ; National security -- Europe. ; Operation Allied Force, 1999. ; Kosovo War, 1998-1999. ; Europe -- Foreign relations -- 1945- ; Europe -- Politics and government -- 1989-</t>
  </si>
  <si>
    <t>https://ebookcentral.proquest.com/lib/iuavit/detail.action?docID=589304</t>
  </si>
  <si>
    <t>The Third Way and Beyond : Criticisms, Futures and Alternatives</t>
  </si>
  <si>
    <t>Hale, Sarah;Leggett, Will;Martell, Luke</t>
  </si>
  <si>
    <t>HB90 -- .T485 2004eb</t>
  </si>
  <si>
    <t>Mixed economy.</t>
  </si>
  <si>
    <t>https://ebookcentral.proquest.com/lib/iuavit/detail.action?docID=589305</t>
  </si>
  <si>
    <t>The Conservatives in Crisis</t>
  </si>
  <si>
    <t>Garnett, Mark;Lynch, Philip</t>
  </si>
  <si>
    <t>JN1129.C7 -- C59 2003eb</t>
  </si>
  <si>
    <t>Conservative Party (Great Britain) ; Political science. ; Great Britain -- Politics and government -- 1997-2007.</t>
  </si>
  <si>
    <t>https://ebookcentral.proquest.com/lib/iuavit/detail.action?docID=589306</t>
  </si>
  <si>
    <t>Qualities of Food</t>
  </si>
  <si>
    <t>McMeekin, Andrew;Warde, Alan;Harvey, Mark;Metcalfe, Stan</t>
  </si>
  <si>
    <t>Engineering; Engineering: Chemical; Health</t>
  </si>
  <si>
    <t>TX353 -- .Q83 2004eb</t>
  </si>
  <si>
    <t>Food -- Analysis. ; Food industry and trade.</t>
  </si>
  <si>
    <t>https://ebookcentral.proquest.com/lib/iuavit/detail.action?docID=589307</t>
  </si>
  <si>
    <t>Climate Change and the Oil Industry : Common Problem, Varying Strategies</t>
  </si>
  <si>
    <t>Skjaerseth, Jon Birger;Skodvin, Tora;Skjaerseth, Jon;Anderssen, Mikael;Liefferink, Duncan;Wilding, Caroline</t>
  </si>
  <si>
    <t>Environmental Studies; Engineering; Engineering: Environmental</t>
  </si>
  <si>
    <t>TD195.P4 -- S56 2003eb</t>
  </si>
  <si>
    <t>Petroleum industry and trade -- Environmental aspects. ; Gas industry -- Environmental aspects. ; Industrial management -- Environmental aspects. ; Greenhouse gas mitigation. ; Climatic changes.</t>
  </si>
  <si>
    <t>https://ebookcentral.proquest.com/lib/iuavit/detail.action?docID=589308</t>
  </si>
  <si>
    <t>The United Nations, Intra-State Peacekeeping and Normative Change</t>
  </si>
  <si>
    <t>Aksu, Esref;Lawler, Peter;Guittet, Emmanuel-Pierre</t>
  </si>
  <si>
    <t>Political Science; Law</t>
  </si>
  <si>
    <t>JZ6368 -- .A39 2003eb</t>
  </si>
  <si>
    <t>341.5/84</t>
  </si>
  <si>
    <t>United Nations. ; Peacekeeping forces. ; Humanitarian intervention. ; Civil war.</t>
  </si>
  <si>
    <t>https://ebookcentral.proquest.com/lib/iuavit/detail.action?docID=589309</t>
  </si>
  <si>
    <t>The Forgotten French : Exiles in the British Isles, 1940-44</t>
  </si>
  <si>
    <t>Atkin, Nicholas</t>
  </si>
  <si>
    <t>DS135.F83 -- A85 2003eb</t>
  </si>
  <si>
    <t>940.53/089/410941</t>
  </si>
  <si>
    <t>Refugees -- France -- History. ; Refugees -- Great Britain -- History. ; World War, 1939-1945 -- Great Britain.</t>
  </si>
  <si>
    <t>https://ebookcentral.proquest.com/lib/iuavit/detail.action?docID=589311</t>
  </si>
  <si>
    <t>The Enlightenment and Religion : The Myths of Modernity</t>
  </si>
  <si>
    <t>Barnett, S.</t>
  </si>
  <si>
    <t>BR470 -- .B37 2003eb</t>
  </si>
  <si>
    <t>273/.8</t>
  </si>
  <si>
    <t>Church history -- 18th century. ; Enlightenment. ; Deism.</t>
  </si>
  <si>
    <t>https://ebookcentral.proquest.com/lib/iuavit/detail.action?docID=589312</t>
  </si>
  <si>
    <t>The Formation of Croatian National Identity</t>
  </si>
  <si>
    <t>Bellamy, Alex;Kirchner, Emil;Christiansen, Thomas</t>
  </si>
  <si>
    <t>JC311 -- .B417 2003eb</t>
  </si>
  <si>
    <t>320.54/094972</t>
  </si>
  <si>
    <t>Nationalism. ; Nationalism -- Croatia. ; National characteristics, Croatian.</t>
  </si>
  <si>
    <t>https://ebookcentral.proquest.com/lib/iuavit/detail.action?docID=589313</t>
  </si>
  <si>
    <t>The 'Malleus Maleficarum' and the Construction of Witchcraft : Theology and Popular Belief</t>
  </si>
  <si>
    <t>Bergin, Joseph;Broedel, Hans;Roberts, Penny;Naphy, William G.</t>
  </si>
  <si>
    <t>BF1569 -- .B75 2003eb</t>
  </si>
  <si>
    <t>Institoris, Heinrich, -- 1430-1505. -- Malleus maleficarum. ; Sprenger, Jakob, -- 1436 or 8-1495. -- Malleus maleficarum. ; Witchcraft -- History -- To 1500.</t>
  </si>
  <si>
    <t>https://ebookcentral.proquest.com/lib/iuavit/detail.action?docID=589314</t>
  </si>
  <si>
    <t>The Truest Form of Patriotism' : Pacifist Feminism in Britain, 1870-1902</t>
  </si>
  <si>
    <t>Brown, Heloise;Sharpe, Pamela;Summerfield, Penny;Abrams, Lynn;Beattie, Cordelia</t>
  </si>
  <si>
    <t>HQ1593 -- .B76 2003eb</t>
  </si>
  <si>
    <t>305.4/2/0941/09034</t>
  </si>
  <si>
    <t>Feminism -- Great Britain -- History -- 19th century. ; Pacifism -- Great Britain -- History -- 19th century. ; Women pacifists -- Great Britain -- History -- 19th century.</t>
  </si>
  <si>
    <t>https://ebookcentral.proquest.com/lib/iuavit/detail.action?docID=589315</t>
  </si>
  <si>
    <t>Democratization Through the Looking-Glass : Comparative Perspectives on Democratization</t>
  </si>
  <si>
    <t>Burnell, Peter</t>
  </si>
  <si>
    <t>Social Science; Political Science</t>
  </si>
  <si>
    <t>JC423 -- .D47835 2003eb</t>
  </si>
  <si>
    <t>Democratization. ; Social science literature. ; Social sciences. ; Area studies.</t>
  </si>
  <si>
    <t>https://ebookcentral.proquest.com/lib/iuavit/detail.action?docID=589316</t>
  </si>
  <si>
    <t>'Special Relationship'? : Harold Wilson, Lyndon B Johnson and Anglo-American Relations 'At the Summit', 1964-8</t>
  </si>
  <si>
    <t>Colman, Jonathan</t>
  </si>
  <si>
    <t>Political Science; History</t>
  </si>
  <si>
    <t>E183.8.G7 -- C74 2004eb</t>
  </si>
  <si>
    <t>327.41073/09046</t>
  </si>
  <si>
    <t>Home-based businesses. ; New business enterprises. ; Internet. ; Electronic commerce.</t>
  </si>
  <si>
    <t>https://ebookcentral.proquest.com/lib/iuavit/detail.action?docID=589317</t>
  </si>
  <si>
    <t>The French Party System</t>
  </si>
  <si>
    <t>Evans, Jocelyn</t>
  </si>
  <si>
    <t>JN2997 -- .F734 2003eb</t>
  </si>
  <si>
    <t>Political parties -- France.</t>
  </si>
  <si>
    <t>https://ebookcentral.proquest.com/lib/iuavit/detail.action?docID=589318</t>
  </si>
  <si>
    <t>The Labour Governments 1964-1970 Volume 1 : Labour and Cultural Change</t>
  </si>
  <si>
    <t>Fielding, Steven;Wilding, Caroline</t>
  </si>
  <si>
    <t>JN1129.L32 -- L24 2003eb</t>
  </si>
  <si>
    <t>Labour Party (Great Britain) -- History. ; Political science. ; Great Britain -- Politics and government -- 1964-1979.</t>
  </si>
  <si>
    <t>https://ebookcentral.proquest.com/lib/iuavit/detail.action?docID=589319</t>
  </si>
  <si>
    <t>After the New Social Democracy : Social Welfare for the 21st Century</t>
  </si>
  <si>
    <t>Fitzpatrick, Tony</t>
  </si>
  <si>
    <t>Social Science; Economics</t>
  </si>
  <si>
    <t>HX244 -- .F58 2003eb</t>
  </si>
  <si>
    <t>330.12/6/0941</t>
  </si>
  <si>
    <t>Labour Party (Great Britain) ; Socialism -- Great Britain. ; New Left -- Great Britain. ; Mixed economy -- Great Britain. ; Great Britain -- Economic conditions.</t>
  </si>
  <si>
    <t>https://ebookcentral.proquest.com/lib/iuavit/detail.action?docID=589320</t>
  </si>
  <si>
    <t>Fathers, Pastors and Kings : Visions of Episcopacy in Seventeenth-Century France</t>
  </si>
  <si>
    <t>Forrestal, Alison;Bergin, Joseph;Roberts, Penny;Naphy, William G.</t>
  </si>
  <si>
    <t>BX1529 -- .F675 2004eb</t>
  </si>
  <si>
    <t>Catholic Church -- Bishops -- France -- History -- 17th century. ; Episcopacy. ; France -- Church history -- 17th century.</t>
  </si>
  <si>
    <t>https://ebookcentral.proquest.com/lib/iuavit/detail.action?docID=589321</t>
  </si>
  <si>
    <t>The länder and German Federalism</t>
  </si>
  <si>
    <t>Gunlicks, Arthur;Lees, Charles</t>
  </si>
  <si>
    <t>JN3971.A988 -- G86 2003eb</t>
  </si>
  <si>
    <t>Federal government -- Germany. ; Germany -- Politics and government -- 1990-</t>
  </si>
  <si>
    <t>https://ebookcentral.proquest.com/lib/iuavit/detail.action?docID=589322</t>
  </si>
  <si>
    <t>Horseracing and the British, 1919-39</t>
  </si>
  <si>
    <t>Huggins, Mike;Richards, Jeffrey</t>
  </si>
  <si>
    <t>Agriculture; Sport &amp;amp; Recreation</t>
  </si>
  <si>
    <t>SF335.G7 -- H8424 2003eb</t>
  </si>
  <si>
    <t>798.4/00941</t>
  </si>
  <si>
    <t>Horse racing -- Great Britain -- History. ; Great Britain -- Social life and customs -- 20th century.</t>
  </si>
  <si>
    <t>https://ebookcentral.proquest.com/lib/iuavit/detail.action?docID=589323</t>
  </si>
  <si>
    <t>Louis XIV and the Parlements : The Assertion of Royal Authority</t>
  </si>
  <si>
    <t>Hurt, John J.</t>
  </si>
  <si>
    <t>DC129 -- .H84 2002eb</t>
  </si>
  <si>
    <t>944/.033/092 B</t>
  </si>
  <si>
    <t>Louis -- XIV, -- King of France, -- 1638-1715. ; Monarchy -- France -- History -- 17th century. ; France -- Politics and government -- 1643-1715. ; France -- Kings and rulers -- Biography.</t>
  </si>
  <si>
    <t>https://ebookcentral.proquest.com/lib/iuavit/detail.action?docID=589324</t>
  </si>
  <si>
    <t>Germany and the Use of Force</t>
  </si>
  <si>
    <t>Longhurst, Kerry;Lees, Charles</t>
  </si>
  <si>
    <t>UA710 -- .L66 2004eb</t>
  </si>
  <si>
    <t>National security -- Germany. ; Germany -- Politics and government -- 1990-</t>
  </si>
  <si>
    <t>https://ebookcentral.proquest.com/lib/iuavit/detail.action?docID=589325</t>
  </si>
  <si>
    <t>Sweden and Ecological Governance : Straddling the Fence</t>
  </si>
  <si>
    <t>Lundqvist, Lennart;Anderssen, Mikael;Liefferink, Duncan;Hargreaves, Martin</t>
  </si>
  <si>
    <t>Business/Management; Economics; Environmental Studies</t>
  </si>
  <si>
    <t>HC380.E5 -- L86 2004eb</t>
  </si>
  <si>
    <t>333.7/09485</t>
  </si>
  <si>
    <t>Environmental policy -- Sweden. ; Sustainable development -- Sweden.</t>
  </si>
  <si>
    <t>https://ebookcentral.proquest.com/lib/iuavit/detail.action?docID=589326</t>
  </si>
  <si>
    <t>The Other Empire : Metropolis, India and Progress in the Colonial Imagination</t>
  </si>
  <si>
    <t>Marriott, John;Thompson, Andrew;MacKenzie, John M.</t>
  </si>
  <si>
    <t>HV4086.L66 -- M37 2003eb</t>
  </si>
  <si>
    <t>305.5/69/0942109034</t>
  </si>
  <si>
    <t>Urban poor -- England -- London -- History -- 19th century. ; Social change -- England -- London -- History -- 19th century. ; Urban poor -- India -- History -- 19th century. ; Social change -- India -- History -- 19th century. ; Imperialism -- History -- 19th century. ; London (England) -- Social conditions. ; India -- Social conditions.</t>
  </si>
  <si>
    <t>https://ebookcentral.proquest.com/lib/iuavit/detail.action?docID=589327</t>
  </si>
  <si>
    <t>Pulp Fictions of Medieval England : Essays in Popular Romance</t>
  </si>
  <si>
    <t>McDonald, Nicola</t>
  </si>
  <si>
    <t>PR321 -- .P85 2004eb</t>
  </si>
  <si>
    <t>821/.03309</t>
  </si>
  <si>
    <t>Romances, English -- History and criticism. ; English fiction -- Middle English, 1100-1500 -- History and criticism.</t>
  </si>
  <si>
    <t>https://ebookcentral.proquest.com/lib/iuavit/detail.action?docID=589328</t>
  </si>
  <si>
    <t>Rohinton Mistry</t>
  </si>
  <si>
    <t>Morey, Peter;Thieme, John;Hargreaves, Martin</t>
  </si>
  <si>
    <t>PR9199.3.M494 -- Z76 2004eb</t>
  </si>
  <si>
    <t>Mistry, Rohinton, -- 1952- -- Criticism and interpretation.</t>
  </si>
  <si>
    <t>https://ebookcentral.proquest.com/lib/iuavit/detail.action?docID=589329</t>
  </si>
  <si>
    <t>Turkey: Facing a New Millennium : Coping with Intertwined Conflicts</t>
  </si>
  <si>
    <t>Nachmani, Amikam;Kirchner, Emil;Christiansen, Thomas;Ehrlich, Avril</t>
  </si>
  <si>
    <t>DR479.E85 -- N34 2003eb</t>
  </si>
  <si>
    <t>327.561/009/049</t>
  </si>
  <si>
    <t>Kurds -- Turkey. ; Turkey -- Foreign relations -- Europe. ; Europe -- Foreign relations -- Turkey. ; Turkey -- Foreign relations -- Greece. ; Greece -- Foreign relations -- Turkey. ; Turkey -- Foreign relations -- Israel. ; Israel -- Foreign relations -- Turkey.</t>
  </si>
  <si>
    <t>https://ebookcentral.proquest.com/lib/iuavit/detail.action?docID=589330</t>
  </si>
  <si>
    <t>Sports Law and Policy in the European Union</t>
  </si>
  <si>
    <t>Parrish, Richard;Papadimitriou, Dimitris;Bulmer, Simon;Geddes, Andrew;Humphreys, Peter</t>
  </si>
  <si>
    <t>KJE6063 -- .P37 2003eb</t>
  </si>
  <si>
    <t>Sports -- Law and legislation -- European Union countries. ; Sports and state -- European Union countries.</t>
  </si>
  <si>
    <t>https://ebookcentral.proquest.com/lib/iuavit/detail.action?docID=589331</t>
  </si>
  <si>
    <t>Female Imperialism and National Identity : Imperial Order Daughters of the Empire</t>
  </si>
  <si>
    <t>Pickles, Katie;Thompson, Andrew;MacKenzie, John M.</t>
  </si>
  <si>
    <t>HQ1453 -- .P53 2002eb</t>
  </si>
  <si>
    <t>305.4/0971</t>
  </si>
  <si>
    <t>Imperial Order Daughters of the Empire -- History. ; Women -- Canada -- History.</t>
  </si>
  <si>
    <t>https://ebookcentral.proquest.com/lib/iuavit/detail.action?docID=589332</t>
  </si>
  <si>
    <t>The Political Philosophy of Jean-Jacques Rousseau : The Impossibilty of Reason</t>
  </si>
  <si>
    <t>Qvortrup, Matt</t>
  </si>
  <si>
    <t>JC179 -- .Q86 2003eb</t>
  </si>
  <si>
    <t>320/.092</t>
  </si>
  <si>
    <t>Rousseau, Jean-Jacques, -- 1712-1778. ; Political science -- Philosophy -- History -- 18th century.</t>
  </si>
  <si>
    <t>https://ebookcentral.proquest.com/lib/iuavit/detail.action?docID=589333</t>
  </si>
  <si>
    <t>West Indian Intellectuals in Britain</t>
  </si>
  <si>
    <t>Schwarz, Bill;Thompson, Andrew;MacKenzie, John M.</t>
  </si>
  <si>
    <t>Social Science; Fiction</t>
  </si>
  <si>
    <t>DA125.W4 -- W46 2003eb</t>
  </si>
  <si>
    <t>305.5/52</t>
  </si>
  <si>
    <t>Intellectuals -- Great Britain. ; West Indians -- Great Britain -- Intellectual life. ; Great Britain -- Intellectual life.</t>
  </si>
  <si>
    <t>https://ebookcentral.proquest.com/lib/iuavit/detail.action?docID=589335</t>
  </si>
  <si>
    <t>The Victorian Soldier in Africa</t>
  </si>
  <si>
    <t>Spiers, Edward;Thompson, Andrew;MacKenzie, John M.</t>
  </si>
  <si>
    <t>U767 -- .S67 2004eb</t>
  </si>
  <si>
    <t>355/.00941/09034</t>
  </si>
  <si>
    <t>Great Britain. -- Army. ; Great Britain. -- Army -- History -- 19th century. ; Soldiers -- Africa. ; Great Britain -- History. ; Africa -- History, Military -- 19th century.</t>
  </si>
  <si>
    <t>https://ebookcentral.proquest.com/lib/iuavit/detail.action?docID=589336</t>
  </si>
  <si>
    <t>Destination Europe : The Political and Economic Growth of a Continent</t>
  </si>
  <si>
    <t>Torbiorn, Kjell</t>
  </si>
  <si>
    <t>JN12 -- .T58 2003eb</t>
  </si>
  <si>
    <t>European Union. ; Political science. ; Europe -- Politics and government -- 1945- ; Europe -- Economic conditions -- 1945-</t>
  </si>
  <si>
    <t>https://ebookcentral.proquest.com/lib/iuavit/detail.action?docID=589338</t>
  </si>
  <si>
    <t>The Labour Party and the World, Volume 1 : The Evolution of Labour's Foreign Policy, 1900-51</t>
  </si>
  <si>
    <t>Vickers, Rhiannon</t>
  </si>
  <si>
    <t>HX244 .V53 2004</t>
  </si>
  <si>
    <t>324.2/41/072</t>
  </si>
  <si>
    <t>Labour Party (Great Britain) -- History. ; Socialism -- Great Britain -- History -- 20th century. ; Great Britain -- Foreign relations -- 1910-1936. ; Great Britain -- Foreign relations -- 1936-1945. ; Great Britain -- Foreign relations -- 1945-1964.</t>
  </si>
  <si>
    <t>https://ebookcentral.proquest.com/lib/iuavit/detail.action?docID=589339</t>
  </si>
  <si>
    <t>Handbuch Bibliothek 2. 0</t>
  </si>
  <si>
    <t>Bergmann, Julia;Danowski, Patrick</t>
  </si>
  <si>
    <t>Z674.75.W67 -- H36 2010eb</t>
  </si>
  <si>
    <t>020.285/4678</t>
  </si>
  <si>
    <t>Libraries and the Internet. ; Web 2.0. ; Libraries -- Information technology. ; Public services (Libraries) -- Technological innovations. ; Librarians -- Effect of technological innovations on.</t>
  </si>
  <si>
    <t>https://ebookcentral.proquest.com/lib/iuavit/detail.action?docID=605962</t>
  </si>
  <si>
    <t>Krise und Kult : Vorderer Orient und Nordafrika Von Aurelian Bis Justinian</t>
  </si>
  <si>
    <t>Kreikenbom, Detlev;Mahler, Karl-Uwe;Schollmeyer, Patrick;Weber, Thomas M.</t>
  </si>
  <si>
    <t>DS62.25.K75 2010</t>
  </si>
  <si>
    <t>939/.405</t>
  </si>
  <si>
    <t>City and town life -- Middle East -- History -- To 1500. ; City and town life -- Africa, North -- History -- To 1500. ; Cults -- Middle East -- History -- To 1500. ; Cults -- Africa, North -- History -- To 1500. ; Middle East -- History -- To 622. ; Africa, North -- History -- To 647. ; Middle East -- Social life and customs.</t>
  </si>
  <si>
    <t>https://ebookcentral.proquest.com/lib/iuavit/detail.action?docID=605983</t>
  </si>
  <si>
    <t>Militärsiedlungen und Territorialherrschaft in der Antike</t>
  </si>
  <si>
    <t>Daubner, Frank</t>
  </si>
  <si>
    <t>HD125 -- .M55 2011eb</t>
  </si>
  <si>
    <t>Land settlement -- History -- To 1500 -- Case studies. ; Military occupation -- History -- To 1500 -- Case studies. ; Imperialism -- History -- To 1500. ; Human territoriality -- History -- To 1500. ; Military history, Ancient.</t>
  </si>
  <si>
    <t>https://ebookcentral.proquest.com/lib/iuavit/detail.action?docID=689637</t>
  </si>
  <si>
    <t>Bilder Schreiben : Virtuose Ekphrasis in Philostrats Eikones</t>
  </si>
  <si>
    <t>Baumann, Mario</t>
  </si>
  <si>
    <t>Literature; Fine Arts</t>
  </si>
  <si>
    <t>PA4272.A5Z5 2011</t>
  </si>
  <si>
    <t>704.9/470938</t>
  </si>
  <si>
    <t>Philostratus</t>
  </si>
  <si>
    <t>https://ebookcentral.proquest.com/lib/iuavit/detail.action?docID=690682</t>
  </si>
  <si>
    <t>Der Schutzauftrag des Rechts : Referate und Diskussionen Auf der Tagung der Vereinigung der Deutschen Staatsrechtslehrer in Berlin Vom 29. September Bis 2. Oktober 2010</t>
  </si>
  <si>
    <t xml:space="preserve">Nettesheim, Martin;Diggelmann, Oliver;Lege, Joachim;et al., et;Et Al, Martin </t>
  </si>
  <si>
    <t>KK135 -- .V47 2011eb</t>
  </si>
  <si>
    <t>Law -- Germany -- Congresses.</t>
  </si>
  <si>
    <t>https://ebookcentral.proquest.com/lib/iuavit/detail.action?docID=737017</t>
  </si>
  <si>
    <t>Spätantiker Staat und Religiöser Konflikt : Imperiale und Lokale Verwaltung und Die Gewalt Gegen Heiligtümer</t>
  </si>
  <si>
    <t>Hahn, Johannes</t>
  </si>
  <si>
    <t>BL805 -- .S63 2011eb</t>
  </si>
  <si>
    <t>Religion and state -- Rome. ; Persecution -- Rome. ; Rome -- Religion.</t>
  </si>
  <si>
    <t>https://ebookcentral.proquest.com/lib/iuavit/detail.action?docID=797973</t>
  </si>
  <si>
    <t>Heinrich Heine - A German European in French Exile : Vortrag, Gehalten Vor der Juristischen Gesellschaft Zu Berlin Am 9. Dezember 2009</t>
  </si>
  <si>
    <t>Stein, Ursula</t>
  </si>
  <si>
    <t>PT2328 -- .S74 2010eb</t>
  </si>
  <si>
    <t>Heine, Heinrich, -- 1797-1856.</t>
  </si>
  <si>
    <t>https://ebookcentral.proquest.com/lib/iuavit/detail.action?docID=797994</t>
  </si>
  <si>
    <t>Messianic Figures in the Writings of German-Jewish Intellectuals 1900-1933</t>
  </si>
  <si>
    <t>Dubbels, Elke</t>
  </si>
  <si>
    <t>PT169 -- .D83 2011eb</t>
  </si>
  <si>
    <t>German literature -- Jewish authors -- History and criticism. ; German literature -- 20th century -- History and criticism. ; Jewish messianic movements -- Germany. ; Messianism in literature.</t>
  </si>
  <si>
    <t>https://ebookcentral.proquest.com/lib/iuavit/detail.action?docID=799421</t>
  </si>
  <si>
    <t>Rome and Milan in Late Antiquity : Repräsentationen Städtischer Räume in Literatur, Architektur und Kunst</t>
  </si>
  <si>
    <t>Fuhrer, Therese</t>
  </si>
  <si>
    <t>History; Fine Arts</t>
  </si>
  <si>
    <t>DG69.R64 2011</t>
  </si>
  <si>
    <t>Architecture -- Italy -- Rome -- History -- To 1500. ; Architecture -- Italy -- Milan -- History -- To 1500. ; Rome (Italy) -- Intellectual life. ; Milan (Italy) -- Intellectual life. ; Rome (Italy) -- History -- To 476. ; Milan (Italy) -- History -- To 1535. ; Rome (Italy) -- In literature.</t>
  </si>
  <si>
    <t>https://ebookcentral.proquest.com/lib/iuavit/detail.action?docID=827286</t>
  </si>
  <si>
    <t>Kindheit in Byzanz : Emotionale, Geistige und Materielle Entwicklung Im Familiären Umfeld Vom 6. Bis Zum 11. Jahrhundert</t>
  </si>
  <si>
    <t>Ariantzi, Despoina</t>
  </si>
  <si>
    <t>HQ767.87 -- .A75 2012eb</t>
  </si>
  <si>
    <t>Children -- History. ; Children -- Byzantine Empire -- Social conditions. ; Families -- Byzantine Empire. ; Byzantine Empire -- Social conditions. ; Byzantine Empire -- Social life and customs.</t>
  </si>
  <si>
    <t>https://ebookcentral.proquest.com/lib/iuavit/detail.action?docID=887106</t>
  </si>
  <si>
    <t>Constituent, Confederate, and Conquered Space : The Emergence of the Mittani State</t>
  </si>
  <si>
    <t>Cancik-Kirschbaum, Eva;Brisch, Nicole;Eidem, Jesper</t>
  </si>
  <si>
    <t>CB311 -- .C667 2014eb</t>
  </si>
  <si>
    <t>Mitanni (Ancient kingdom) -- History -- Congresses.</t>
  </si>
  <si>
    <t>https://ebookcentral.proquest.com/lib/iuavit/detail.action?docID=893097</t>
  </si>
  <si>
    <t>Gottes Haus : Untersuchungen Zur Kirche Als Heiligem Raum Von der Spätantike Bis Ins Frühmittelalter</t>
  </si>
  <si>
    <t>Czock, Miriam</t>
  </si>
  <si>
    <t>BV598 -- .C96 2012eb</t>
  </si>
  <si>
    <t>246/.9509</t>
  </si>
  <si>
    <t>Church -- History of doctrines. ; Sacred space. ; Architecture and religion.</t>
  </si>
  <si>
    <t>https://ebookcentral.proquest.com/lib/iuavit/detail.action?docID=893107</t>
  </si>
  <si>
    <t>Grundsatzfragen der Rechtsetzung und Rechtsfindung : Referate und Diskussionen Auf der Tagung der Vereinigung der Deutschen Staatsrechtslehrer in Münster Vom 5. Bis 8. Oktober 2011</t>
  </si>
  <si>
    <t xml:space="preserve">Lienbacher, Georg;Grzeszick, Bernd;Calliess, Christian;et al., et;Et Al, Georg </t>
  </si>
  <si>
    <t>KK4413 -- .G78 2011eb</t>
  </si>
  <si>
    <t>Public law -- Germany -- Congresses.</t>
  </si>
  <si>
    <t>https://ebookcentral.proquest.com/lib/iuavit/detail.action?docID=893177</t>
  </si>
  <si>
    <t>Die Mosaiken der Acheiropoietos-Basilika in Thessaloniki : Eine Vergleichende Analyse Dekorativer Mosaiken des 5. und 6. Jahrhunderts</t>
  </si>
  <si>
    <t>Fourlas, Benjamin</t>
  </si>
  <si>
    <t>Fine Arts; Architecture</t>
  </si>
  <si>
    <t>NA3780.F68 2012</t>
  </si>
  <si>
    <t>738.5/20949565</t>
  </si>
  <si>
    <t>Acheiropoietos (Church : Thessalonike, Greece) ; Mosaics, Byzantine -- Greece -- Thessalonike. ; Decoration and ornament, Byzantine -- Greece -- Thessalonike. ; Decoration and ornament, Architectural -- Greece -- Thessalonike. ; Christian art and symbolism -- Greece -- Thessalonike. ; Thessalonike (Greece) -- Antiquities. ; Thessalonike (Greece) -- Buildings, structures, etc.</t>
  </si>
  <si>
    <t>https://ebookcentral.proquest.com/lib/iuavit/detail.action?docID=893383</t>
  </si>
  <si>
    <t>Gallien in Spätantike und Frühmittelalter : Kulturgeschichte Einer Region</t>
  </si>
  <si>
    <t>Diefenbach, Steffen;Müller, Gernot Michael;Muller, Gernot Michael</t>
  </si>
  <si>
    <t>DC61.G35 2013eb</t>
  </si>
  <si>
    <t>Merovingians -- Congresses. ; Gaul -- History -- 58 B.C.-511 A.D. -- Congresses. ; France -- History -- To 987 -- Congresses.</t>
  </si>
  <si>
    <t>https://ebookcentral.proquest.com/lib/iuavit/detail.action?docID=893468</t>
  </si>
  <si>
    <t>Der Bundespräsident : Briefe 1949-1954</t>
  </si>
  <si>
    <t xml:space="preserve">Heuss, Theodor;Becker, Ernst Wolfgang;Vogt, Martin;Werner, Wolfram;Heuss, Theodor </t>
  </si>
  <si>
    <t>DD259.7.H48 -- A4 2012eb</t>
  </si>
  <si>
    <t>Heuss, Theodor, -- 1884-1963 -- Correspondence. ; Presidents -- Germany (West) -- Correspondence. ; Germany (West) -- Politics and government. ; Germany (West) -- History -- Sources.</t>
  </si>
  <si>
    <t>https://ebookcentral.proquest.com/lib/iuavit/detail.action?docID=893883</t>
  </si>
  <si>
    <t>Population Dynamics in Prehistory and Early History : New Approaches Using Stable Isotopes and Genetics</t>
  </si>
  <si>
    <t>Kaiser, Elke;Burger, Joachim;Schier, Wolfram</t>
  </si>
  <si>
    <t>Science: Biology/Natural History; History; Science</t>
  </si>
  <si>
    <t>GN740 -- .P66 2012eb</t>
  </si>
  <si>
    <t>Stable isotopes</t>
  </si>
  <si>
    <t>https://ebookcentral.proquest.com/lib/iuavit/detail.action?docID=893937</t>
  </si>
  <si>
    <t>Arbeitsorganisation 2. 0 : Tools Für Den Arbeitsalltag in Kultur- und Bildungseinrichtungen</t>
  </si>
  <si>
    <t>Bergmann, Julia;Plieninger, Jürgen;Plieninger, Jürgen</t>
  </si>
  <si>
    <t>Computer Science/IT</t>
  </si>
  <si>
    <t>TK5105.88817 -- .B47 2013eb</t>
  </si>
  <si>
    <t>Web 2.0. ; Electronic commerce. ; Business enterprises -- Technological innovations. ; Technological innovations -- Management. ; Information technology.</t>
  </si>
  <si>
    <t>https://ebookcentral.proquest.com/lib/iuavit/detail.action?docID=894020</t>
  </si>
  <si>
    <t>Libraries Driving Access to Knowledge</t>
  </si>
  <si>
    <t>Lau, Jesús;Tammaro, Anna Maria;Bothma, Theo J. D.;Lau, Jesús</t>
  </si>
  <si>
    <t>Z716.4 -- .L475 2012eb</t>
  </si>
  <si>
    <t>Libraries and society. ; Libraries -- Aims and objectives. ; Libraries and education. ; Libraries -- Information technology. ; Open access publishing. ; Libraries -- Special collections -- Electronic information resources. ; Electronic information resources -- Management.</t>
  </si>
  <si>
    <t>https://ebookcentral.proquest.com/lib/iuavit/detail.action?docID=894021</t>
  </si>
  <si>
    <t>Thinking and Killing : Philosophical Discourse in the Shadow of the Third Reich</t>
  </si>
  <si>
    <t>Segev, Alon</t>
  </si>
  <si>
    <t>B3181.S53 2013eb</t>
  </si>
  <si>
    <t>Holocaust, Jewish (1939-1945) -- Moral and ethical aspects. ; Mass murder. ; National socialism and philosophy. ; Philosophy, German -- 20th century.</t>
  </si>
  <si>
    <t>https://ebookcentral.proquest.com/lib/iuavit/detail.action?docID=894152</t>
  </si>
  <si>
    <t>The Archaeology of Political Spaces : The Upper Mesopotamian Piedmont in the Second Millennium BCE</t>
  </si>
  <si>
    <t>Bonatz, Dominik;Excellence Cluster Topoi</t>
  </si>
  <si>
    <t>DS70.7</t>
  </si>
  <si>
    <t>Archaeology -- Methodology. ; Tigris River Valley -- Antiquities -- Congresses. ; Turkey -- Antiquities -- Congresses.</t>
  </si>
  <si>
    <t>https://ebookcentral.proquest.com/lib/iuavit/detail.action?docID=913001</t>
  </si>
  <si>
    <t>Babylon : Wissenskultur in Orient und Okzident</t>
  </si>
  <si>
    <t xml:space="preserve">Cancik-Kirschbaum, Eva;Ess, Margarete van;Marzahn, Joachim;Ess, Margarete </t>
  </si>
  <si>
    <t>DS70.5.B3B34 2011</t>
  </si>
  <si>
    <t>Learning and scholarship -- Iraq -- Babylon (Extinct city) -- History -- Congresses. ; Science -- Iraq -- Babylon (Extinct city) -- History -- Congresses. ; East and West -- History -- Congresses. ; Babylon (Extinct city) -- Intellectual life -- Congresses.</t>
  </si>
  <si>
    <t>https://ebookcentral.proquest.com/lib/iuavit/detail.action?docID=913211</t>
  </si>
  <si>
    <t>Spatial Analysis and Social Spaces : Interdisciplinary Approaches to the Interpretation of Prehistoric and Historic Built Environments</t>
  </si>
  <si>
    <t>Paliou, Eleftheria;Lieberwirth, Undine;Polla, Silvia</t>
  </si>
  <si>
    <t>CC79.S63 -- S64 2014eb</t>
  </si>
  <si>
    <t>Spatial analysis (Statistics) in archaeology -- Congresses. ; Archaeology -- Methodology -- Congresses. ; Architecture, Ancient -- Congresses.</t>
  </si>
  <si>
    <t>https://ebookcentral.proquest.com/lib/iuavit/detail.action?docID=913221</t>
  </si>
  <si>
    <t>Mobilität und Wissenstransfer in Diachroner und Interdisziplinärer Perspektive</t>
  </si>
  <si>
    <t>Kaiser, Elke;Schier, Wolfram</t>
  </si>
  <si>
    <t>History; Social Science</t>
  </si>
  <si>
    <t>GN370 -- .M63 2013eb</t>
  </si>
  <si>
    <t>Human beings -- Migrations. ; Diffusion of innovations. ; Technology transfer. ; Civilization, Ancient.</t>
  </si>
  <si>
    <t>https://ebookcentral.proquest.com/lib/iuavit/detail.action?docID=913346</t>
  </si>
  <si>
    <t>(Open) Linked Data in Bibliotheken</t>
  </si>
  <si>
    <t>Danowski, Patrick;Pohl, Adrian;Gantert, Klaus</t>
  </si>
  <si>
    <t>Computer Science/IT; Library Science</t>
  </si>
  <si>
    <t>Z666.73.L56.O64 201</t>
  </si>
  <si>
    <t>006.7/4</t>
  </si>
  <si>
    <t>Linked data. ; RDF (Document markup language)</t>
  </si>
  <si>
    <t>https://ebookcentral.proquest.com/lib/iuavit/detail.action?docID=913372</t>
  </si>
  <si>
    <t>Germany and Europe: Does What Belongs Together Grow Together? : Wächst zusammen, was zusammen gehört?</t>
  </si>
  <si>
    <t xml:space="preserve">Akademie der Wissenschaften in Hamburg, Akademie der;Reinitzer, Heimo;Akademie Der Wissenschaften in Hamburg, Heimo </t>
  </si>
  <si>
    <t>D1065.G3 -- D49 2013eb</t>
  </si>
  <si>
    <t>European Union. ; Concord -- Political aspects -- Europe. ; Concord -- Political aspects -- Germany. ; National characteristics, European. ; National characteristics, German. ; Europe -- Relations -- Germany. ; Germany -- Relations -- Europe.</t>
  </si>
  <si>
    <t>https://ebookcentral.proquest.com/lib/iuavit/detail.action?docID=919818</t>
  </si>
  <si>
    <t>Oaths and Swearing in Ancient Greece</t>
  </si>
  <si>
    <t>Sommerstein, Alan H.;Torrance, Isabelle C.</t>
  </si>
  <si>
    <t>KL4350 .S665 2014</t>
  </si>
  <si>
    <t>Oaths (Greek law) ; Public law (Greek law)</t>
  </si>
  <si>
    <t>https://ebookcentral.proquest.com/lib/iuavit/detail.action?docID=919841</t>
  </si>
  <si>
    <t>Bundesstaat und Europäische Union Zwischen Konflikt und Kooperation : Berichte und Diskussionen Auf der Tagung der Vereinigung der Deutschen Staatsrechtslehrer in Rostock Vom 4. Bis 7. Oktober 2006</t>
  </si>
  <si>
    <t xml:space="preserve">Kadelbach, Stefan;Tietje, Christian;Pache, Eckhard;Gross, Thomas ;et al., et;Et Al, Stefan ;Et Al, Stefan </t>
  </si>
  <si>
    <t>Law; Political Science</t>
  </si>
  <si>
    <t>KJE5075 -- .B86 2007eb</t>
  </si>
  <si>
    <t>321.02;342.04</t>
  </si>
  <si>
    <t>European Union -- Congresses. ; Federal government -- European Union countries -- Congresses. ; Constitutional law -- European Union countries -- Congresses. ; Central-local government relations -- European Union countries -- Congresses. ; European federation -- Congresses.</t>
  </si>
  <si>
    <t>https://ebookcentral.proquest.com/lib/iuavit/detail.action?docID=936984</t>
  </si>
  <si>
    <t>Der Sozialstaat in Deutschland und Europa : Berichte und Diskussionen Auf der Tagung der Vereinigung der Deutschen Staatsrechtslehrer in Jena Vom 6. Bis 9. Oktober 2004</t>
  </si>
  <si>
    <t xml:space="preserve">Enders, Christoph;Wiederin, Ewald;Pitschas, Rainer;Sodan, Helge ;et al., et;Et Al, Ewald ;Et Al, Christoph </t>
  </si>
  <si>
    <t>Social Science; Law; Economics; Business/Management</t>
  </si>
  <si>
    <t>HV274 -- .V47 2004eb</t>
  </si>
  <si>
    <t>339.46;342.43</t>
  </si>
  <si>
    <t>Public welfare -- Germany -- Congresses. ; Public welfare -- Europe -- Congresses.</t>
  </si>
  <si>
    <t>https://ebookcentral.proquest.com/lib/iuavit/detail.action?docID=937321</t>
  </si>
  <si>
    <t>The German President. Letters 19541959 : Briefe 1954–1959</t>
  </si>
  <si>
    <t>Heuss, Theodor;Becker, Ernst Wolfgang;Vogt, Martin;Werner, Wolfram;Werner, Wolfram;Heuss, Theodor</t>
  </si>
  <si>
    <t>Social Science; History</t>
  </si>
  <si>
    <t>DD259.7.H4.A4 2013eb</t>
  </si>
  <si>
    <t>Heuss, Theodor, -- 1884-1963 -- Correspondence. ; Presidents -- Germany (West) -- Correspondence. ; Germany (West) -- Politics and government -- 1945-1990 -- Sources. ; Germany (West) -- History -- 20th century -- Sources.</t>
  </si>
  <si>
    <t>https://ebookcentral.proquest.com/lib/iuavit/detail.action?docID=955842</t>
  </si>
  <si>
    <t>Der Kaiser und Konstantinopel : Kommunikation und Konfliktaustrag in Einer Spätantiken Metropole</t>
  </si>
  <si>
    <t>Pfeilschifter, Rene</t>
  </si>
  <si>
    <t>JC89 -- .P44 2013eb</t>
  </si>
  <si>
    <t>Emperors -- Rome.</t>
  </si>
  <si>
    <t>https://ebookcentral.proquest.com/lib/iuavit/detail.action?docID=1046677</t>
  </si>
  <si>
    <t>Across the Margins : Cultural Identity and Change in the Atlantic Archipelago</t>
  </si>
  <si>
    <t>Norquay, Glenda;Smyth, Gerry;Smyth, Gerry</t>
  </si>
  <si>
    <t>DA959.1 -- .A28 2002eb</t>
  </si>
  <si>
    <t>English literature -- Scottish authors -- History and criticism. ; Scottish literature -- History and criticism. ; English literature -- Irish authors -- History and criticism. ; English literature -- Welsh authors -- History and criticism. ; Ireland -- Civilization -- 20th century. ; Scotland -- Civilization -- 20th century. ; Northern Ireland -- Civilization.</t>
  </si>
  <si>
    <t>https://ebookcentral.proquest.com/lib/iuavit/detail.action?docID=1069475</t>
  </si>
  <si>
    <t>Stories of Women : Gender and Narrative in the Postcolonial Nation</t>
  </si>
  <si>
    <t>Boehmer, Elleke</t>
  </si>
  <si>
    <t>PR9080 -- .B67 2005eb</t>
  </si>
  <si>
    <t>English literature -- English-speaking countries -- History and criticism. ; Sex role in literature. ; Postcolonialism in literature. ; Nationalism in literature.</t>
  </si>
  <si>
    <t>https://ebookcentral.proquest.com/lib/iuavit/detail.action?docID=1069507</t>
  </si>
  <si>
    <t>Bibliotheken: Innovation Aus Tradition : Rolf Griebel Zum 65. Geburtstag</t>
  </si>
  <si>
    <t>Ceynowa, Klaus;Hermann, Martin</t>
  </si>
  <si>
    <t>Z678.9 -- .B535 2014eb</t>
  </si>
  <si>
    <t>Libraries -- Information technology -- Planning. ; Libraries -- Information technology. ; Libraries and community. ; Libraries and the Internet.</t>
  </si>
  <si>
    <t>https://ebookcentral.proquest.com/lib/iuavit/detail.action?docID=1075567</t>
  </si>
  <si>
    <t>Die Basilika in Byzanz : Gestalt, Ausstattung und Funktion Sowie das Verhältnis Zur Kreuzkuppelkirche</t>
  </si>
  <si>
    <t>Altripp, Michael;Brandes, Wolfram;Krasser, Helmut</t>
  </si>
  <si>
    <t>Architecture</t>
  </si>
  <si>
    <t>NA4150.A48 2013eb</t>
  </si>
  <si>
    <t>Basilicas -- Byzantine Empire. ; Architecture, Byzantine.</t>
  </si>
  <si>
    <t>https://ebookcentral.proquest.com/lib/iuavit/detail.action?docID=1075610</t>
  </si>
  <si>
    <t>Gaming und Bibliotheken</t>
  </si>
  <si>
    <t>Deeg, Christoph</t>
  </si>
  <si>
    <t>Z716.33 -- .D44 2014eb</t>
  </si>
  <si>
    <t>Libraries -- Activity programs. ; Libraries -- Special collections -- Games. ; Libraries -- Special collections.</t>
  </si>
  <si>
    <t>https://ebookcentral.proquest.com/lib/iuavit/detail.action?docID=1094221</t>
  </si>
  <si>
    <t>Antibiotika-Forschung: Probleme und Perspektiven : Stellungnahme</t>
  </si>
  <si>
    <t xml:space="preserve">Akademie der Wissenschaften Hamburg, Akademie der;Deutsche Akademie der Naturforscher Leopoldina, Reinhourdsbrunn Castle;Deutsche Akademie Der Naturforscher Leopoldina - Nationale Akademie Der Wissenschaften, </t>
  </si>
  <si>
    <t>Medicine; Pharmacy</t>
  </si>
  <si>
    <t>RM267 -- .A542 2013eb</t>
  </si>
  <si>
    <t>615.3/29</t>
  </si>
  <si>
    <t>Antibiotics -- Research.</t>
  </si>
  <si>
    <t>https://ebookcentral.proquest.com/lib/iuavit/detail.action?docID=1108072</t>
  </si>
  <si>
    <t>Active Ageing and Solidarity Between Generations in Europe : First Results from SHARE after the Economic Crisis</t>
  </si>
  <si>
    <t>Börsch-Supan, Axel;Brandt, Martina;Litwin, Howard;Weber, Guglielmo ;Börsch-Supan, Axel</t>
  </si>
  <si>
    <t>HB871</t>
  </si>
  <si>
    <t>Survey of Health, Ageing, and Retirement in Europe (Program) ; Population aging -- Economic aspects -- Europe. ; Population aging -- Social aspects -- Europe.</t>
  </si>
  <si>
    <t>https://ebookcentral.proquest.com/lib/iuavit/detail.action?docID=1121564</t>
  </si>
  <si>
    <t>Jeremiah Smith, Jr. and Hungary, 1924-1926 : The United States, the League of Nations, and the Financial Reconstruction of Hungary</t>
  </si>
  <si>
    <t>Peterecz, Zoltán;Peterecz, Zoltán</t>
  </si>
  <si>
    <t>Political Science; Business/Management; Economics</t>
  </si>
  <si>
    <t>JX1975</t>
  </si>
  <si>
    <t>Finance -- Hungary. ; Judges -- United States -- Biography. ; Smith, Jeremiah, 1870-1935.</t>
  </si>
  <si>
    <t>https://ebookcentral.proquest.com/lib/iuavit/detail.action?docID=1121566</t>
  </si>
  <si>
    <t>Pioneers of Zionism: Hess, Pinsker, Rülf : Messianism, Settlement Policy, and the Israeli-Palestinian Conflict</t>
  </si>
  <si>
    <t>Schoeps, Julius H.;Moses Mendelssohn Zentrum in Kooperation mit dem Zentrum Jüdische Studien Berlin-Branden</t>
  </si>
  <si>
    <t>DS149 -- .S49518 2013eb</t>
  </si>
  <si>
    <t>Hess, Moses, -- 1812-1875 -- Criticism and interpretation. ; Pinsker, Leon, -- 1821-1891 -- Criticism and interpretation. ; Rülf, I. -- (Isaak), -- 1831-1902 -- Criticism and interpretation. ; Zionism and Judaism. ; Zionism -- History -- 19th century. ; Zionism -- Philosophy.</t>
  </si>
  <si>
    <t>https://ebookcentral.proquest.com/lib/iuavit/detail.action?docID=1121606</t>
  </si>
  <si>
    <t>Jugendbewegung, Antisemitismus und Rechtsradikale Politik : Vom ,,Freideutschen Jugendtag Bis Zur Gegenwart</t>
  </si>
  <si>
    <t>Botsch, Gideon;Haverkamp, Josef</t>
  </si>
  <si>
    <t>HN19.A1 -- .J844 2014eb</t>
  </si>
  <si>
    <t>Youth movements -- Germany -- History. ; Antisemitism -- Germany -- History. ; Youth -- Political activity -- Germany -- History.</t>
  </si>
  <si>
    <t>https://ebookcentral.proquest.com/lib/iuavit/detail.action?docID=1130323</t>
  </si>
  <si>
    <t>Repräsentative Demokratie in der Krise? : Referate und Diskussionen Auf der Tagung der Vereinigung der Deutschen Staatsrechtslehrer in Kiel Vom 3. Bis 6. Oktober 2012</t>
  </si>
  <si>
    <t>Walter, Christian;Gärditz, Klaus Ferdinand;Pünder, Hermann;et al., et</t>
  </si>
  <si>
    <t>Fine Arts; Political Science</t>
  </si>
  <si>
    <t>JC423.T34 2013eb</t>
  </si>
  <si>
    <t>Democracy -- Congresses.</t>
  </si>
  <si>
    <t>https://ebookcentral.proquest.com/lib/iuavit/detail.action?docID=1130369</t>
  </si>
  <si>
    <t>On Ancient Grammars of Space : Linguistic Research on the Expression of Spatial Relations and Motion in Ancient Languages</t>
  </si>
  <si>
    <t>Kutscher, Silvia;Werning, Daniel A.</t>
  </si>
  <si>
    <t>Language/Linguistics</t>
  </si>
  <si>
    <t>P37.5.S65 O5 2013</t>
  </si>
  <si>
    <t>Cognitive grammar. ; Language and languages -- Grammars -- History. ; Languages, Modern -- Grammar, Historical. ; Psycholinguistics. ; Space and time in language -- History. ; Spatial behavior.</t>
  </si>
  <si>
    <t>https://ebookcentral.proquest.com/lib/iuavit/detail.action?docID=1139075</t>
  </si>
  <si>
    <t>Das Emanzipationsedikt Von 1812 in Preußen : Der Lange Weg der Juden Zu ,,Einländern und ,,preußischen Staatsbürgern</t>
  </si>
  <si>
    <t>Diekmann, Irene A.;Diekmann, Irene A.</t>
  </si>
  <si>
    <t>DS135.G34.E43 2013eb</t>
  </si>
  <si>
    <t>Jews -- Emancipation -- Germany -- Prussia -- History. ; Jews -- Germany -- Prussia -- History -- 19th century. ; Jews -- Legal status, laws, etc. -- Germany -- Prussia -- History -- 19th century. ; Prussia (Germany) -- History -- 19th century.</t>
  </si>
  <si>
    <t>https://ebookcentral.proquest.com/lib/iuavit/detail.action?docID=1157178</t>
  </si>
  <si>
    <t>Constructivist Blended Learning Approach : To Teaching English for Specific Purposes</t>
  </si>
  <si>
    <t>Tarnopolsky, Oleg</t>
  </si>
  <si>
    <t>PE1068 .G4</t>
  </si>
  <si>
    <t>English language -- Grammar. ; English language -- Study and teaching -- Germany -- Handbooks, manuals, etc. ; English literature -- Study and teaching -- Germany.</t>
  </si>
  <si>
    <t>https://ebookcentral.proquest.com/lib/iuavit/detail.action?docID=1157200</t>
  </si>
  <si>
    <t>Before the Museums Came : A Social History of the Fine Arts in the Twin Cities</t>
  </si>
  <si>
    <t>Harris, Leo J.</t>
  </si>
  <si>
    <t>N6494</t>
  </si>
  <si>
    <t>Art collector. ; Art Exhibition. ; Art trade.</t>
  </si>
  <si>
    <t>https://ebookcentral.proquest.com/lib/iuavit/detail.action?docID=1157244</t>
  </si>
  <si>
    <t>Tractates Pesahim and Yoma</t>
  </si>
  <si>
    <t>Guggenheimer, Heinrich W.;Stemberger, Günter;Fonrobert, Charlotte</t>
  </si>
  <si>
    <t>BM506.P47.E5 2013eb</t>
  </si>
  <si>
    <t>Talmud Yerushalmi. -- Pesa?im -- Commentaries. ; Talmud Yerushalmi. -- Yoma -- Commentaries. ; Rabbinical literature.</t>
  </si>
  <si>
    <t>https://ebookcentral.proquest.com/lib/iuavit/detail.action?docID=1164716</t>
  </si>
  <si>
    <t>Moving to Sustainable Buildings: : Paths to Adopt Green Innovations in Developed Countries</t>
  </si>
  <si>
    <t>Berardi, Umberto</t>
  </si>
  <si>
    <t>Architecture; Engineering; Engineering: Construction</t>
  </si>
  <si>
    <t>TH880 .B384 2013</t>
  </si>
  <si>
    <t>Sustainable buildings -- Design and construction. ; Sustainable buildings -- Developed countries -- Design and construction. ; Sustainable construction. ; Sustainable development -- Developed countries.</t>
  </si>
  <si>
    <t>https://ebookcentral.proquest.com/lib/iuavit/detail.action?docID=1174172</t>
  </si>
  <si>
    <t>The World Jewish Congress During the Holocaust : Between Activism and Restraint</t>
  </si>
  <si>
    <t>Segev, Zohar</t>
  </si>
  <si>
    <t>D804.3 .S44 2014</t>
  </si>
  <si>
    <t>Holocaust, Jewish (1939-1945) ; Jews -- Political activity -- United States. ; World Jewish Congress. ; World War, 1939-1945 -- Jews -- Rescue. ; Zionism -- History -- 20th century.</t>
  </si>
  <si>
    <t>https://ebookcentral.proquest.com/lib/iuavit/detail.action?docID=1184364</t>
  </si>
  <si>
    <t>The Problem of Relativism in the Sociology of (Scientific) Knowledge</t>
  </si>
  <si>
    <t>Schantz, Richard;Seidel, Markus</t>
  </si>
  <si>
    <t>BD222.S33 2011eb</t>
  </si>
  <si>
    <t>Relativity.</t>
  </si>
  <si>
    <t>https://ebookcentral.proquest.com/lib/iuavit/detail.action?docID=1195380</t>
  </si>
  <si>
    <t>Wittgenstein: the Philosopher and His Works : The Philosopher and His Works</t>
  </si>
  <si>
    <t>Pichler, Alois;Säätelä, Simo;Säätelä, Simo</t>
  </si>
  <si>
    <t>B3376.W564.W58 2006</t>
  </si>
  <si>
    <t>Wittgenstein, Ludwig, -- 1889-1951. ; Philosophers -- Austria -- Biography. ; Philosophy, Austrian -- 20th century.</t>
  </si>
  <si>
    <t>https://ebookcentral.proquest.com/lib/iuavit/detail.action?docID=1195384</t>
  </si>
  <si>
    <t>Substance and Attribute : Western and Islamic Traditions in Dialogue</t>
  </si>
  <si>
    <t>Kanzian, Christian;Legenhausen, Muhammad;Legenhausen, Muhammad</t>
  </si>
  <si>
    <t>CB251.S83 2007eb</t>
  </si>
  <si>
    <t>East and West. ; Philosophy. ; Islamic philosophy.</t>
  </si>
  <si>
    <t>https://ebookcentral.proquest.com/lib/iuavit/detail.action?docID=1195385</t>
  </si>
  <si>
    <t>Essays on the Philosophy of Wittgenstein</t>
  </si>
  <si>
    <t>Munz, Volker;Munz, Volker</t>
  </si>
  <si>
    <t>Language/Linguistics; Philosophy</t>
  </si>
  <si>
    <t>P121.I58 2009eb</t>
  </si>
  <si>
    <t>Wittgenstein, Ludwig, -- 1889-1951 -- Congresses. ; Linguistics -- Congresses. ; Sociolinguistics -- Congresses. ; Psycholinguistics -- Congresses.</t>
  </si>
  <si>
    <t>https://ebookcentral.proquest.com/lib/iuavit/detail.action?docID=1195404</t>
  </si>
  <si>
    <t>Time and History : Proceedings of the 28. International Ludwig Wittgenstein Symposium, Kirchberg Am Wechsel, Austria 2005</t>
  </si>
  <si>
    <t>Stadler, Friedrich;Stöltzner, Michael;Stöltzner, Michael</t>
  </si>
  <si>
    <t>Philosophy; Psychology</t>
  </si>
  <si>
    <t>B3317 .T384 2006</t>
  </si>
  <si>
    <t>Philosophy. ; Time -- Philosophy -- Congresses. ; Wittgenstein, Ludwig, 1929–1933.</t>
  </si>
  <si>
    <t>https://ebookcentral.proquest.com/lib/iuavit/detail.action?docID=1195405</t>
  </si>
  <si>
    <t>Phenomenology As Grammar</t>
  </si>
  <si>
    <t>Padilla Gálvez, Jesús;Gálvez, Jesús Padilla</t>
  </si>
  <si>
    <t>B829.5.P44 2008eb</t>
  </si>
  <si>
    <t>Phenomenology. ; Grammar, Comparative and general.</t>
  </si>
  <si>
    <t>https://ebookcentral.proquest.com/lib/iuavit/detail.action?docID=1195413</t>
  </si>
  <si>
    <t>Wittgenstein über das Verstehen</t>
  </si>
  <si>
    <t>Tatievskaya, Elena;Österreichische Ludwig-Wittgenstein-Gesellschaft</t>
  </si>
  <si>
    <t>B3376.W564.T38 2009</t>
  </si>
  <si>
    <t>Wittgenstein, Ludwig, -- 1889-1951 -- Criticism and interpretation. ; Signs and symbols. ; Symbolism.</t>
  </si>
  <si>
    <t>https://ebookcentral.proquest.com/lib/iuavit/detail.action?docID=1195435</t>
  </si>
  <si>
    <t>Ethics of Terrorism and Counter-Terrorism</t>
  </si>
  <si>
    <t>Meggle, Georg;Kemmerling, Andreas;Textor, Mark</t>
  </si>
  <si>
    <t>Social Science; Philosophy</t>
  </si>
  <si>
    <t>HV6431.E845 2005eb</t>
  </si>
  <si>
    <t>Terrorism -- Moral and ethical aspects. ; Terrorism -- Prevention -- Moral and ethical aspects. ; War on Terrorism, 2001-2009 -- Moral and ethical aspects.</t>
  </si>
  <si>
    <t>https://ebookcentral.proquest.com/lib/iuavit/detail.action?docID=1195439</t>
  </si>
  <si>
    <t>From Logic to Art : Themes from Nelson Goodman</t>
  </si>
  <si>
    <t>Ernst, Gerhard;Steinbrenner, Jakob;Scholz, Oliver R.</t>
  </si>
  <si>
    <t>Philosophy; Fine Arts</t>
  </si>
  <si>
    <t>N70.F76 2009eb</t>
  </si>
  <si>
    <t>Goodman, Nelson. ; Art -- Philosophy.</t>
  </si>
  <si>
    <t>https://ebookcentral.proquest.com/lib/iuavit/detail.action?docID=1195442</t>
  </si>
  <si>
    <t>Volume 2</t>
  </si>
  <si>
    <t>Heinrich, Richard;Nemeth, Elisabeth;Pichler, Wolfram;Wagner, David</t>
  </si>
  <si>
    <t>PM8008.I58 2010eb</t>
  </si>
  <si>
    <t>Wittgenstein, Ludwig, -- 1889-1951 -- Congresses. ; Neurath, Otto, -- 1882-1945 -- Congresses. ; Peirce, Charles S. -- (Charles Sanders), -- 1839-1914 -- Congresses. ; Language, Universal -- Congresses. ; Isotype (Picture language) -- Congresses.</t>
  </si>
  <si>
    <t>https://ebookcentral.proquest.com/lib/iuavit/detail.action?docID=1195459</t>
  </si>
  <si>
    <t>Wittgensteins Sprachphilosophie in Den Philosophischen Untersuchungen : Eine Kommentierende Ersteinführung</t>
  </si>
  <si>
    <t>Kellerwessel, Wulf;Österreichische Ludwig-Wittgenstein-Gesellschaft</t>
  </si>
  <si>
    <t>B3376.W564.K45 2009</t>
  </si>
  <si>
    <t>Wittgenstein, Ludwig, -- 1889-1951. ; Language and languages -- Philosophy.</t>
  </si>
  <si>
    <t>https://ebookcentral.proquest.com/lib/iuavit/detail.action?docID=1195474</t>
  </si>
  <si>
    <t>Volume 1</t>
  </si>
  <si>
    <t>B105.I47.I58 2010eb</t>
  </si>
  <si>
    <t>Wittgenstein, Ludwig, -- 1889-1951 -- Congresses. ; Image (Philosophy) -- Congresses. ; Imagery (Psychology) in art -- Congresses.</t>
  </si>
  <si>
    <t>https://ebookcentral.proquest.com/lib/iuavit/detail.action?docID=1195486</t>
  </si>
  <si>
    <t>Signs, Minds and Actions</t>
  </si>
  <si>
    <t>Munz, Volker;Puhl, Klaus;Wang, Joseph;Wang, Joseph</t>
  </si>
  <si>
    <t>Language/Linguistics; Social Science</t>
  </si>
  <si>
    <t>https://ebookcentral.proquest.com/lib/iuavit/detail.action?docID=1195506</t>
  </si>
  <si>
    <t>Grenzen Grammatischer Willkür Bei Wittgenstein</t>
  </si>
  <si>
    <t>Voß, Henrik;Voß, Henrik</t>
  </si>
  <si>
    <t>Philosophy; Language/Linguistics</t>
  </si>
  <si>
    <t>B3376.W564.V67 2012</t>
  </si>
  <si>
    <t>Wittgenstein, Ludwig, -- 1889-1951 -- Criticism and interpretation.</t>
  </si>
  <si>
    <t>https://ebookcentral.proquest.com/lib/iuavit/detail.action?docID=1195512</t>
  </si>
  <si>
    <t>Cultures. Conflict - Analysis - Dialogue : Proceedings of the 29th International Ludwig Wittgenstein-Symposium in Kirchberg, Austria</t>
  </si>
  <si>
    <t>Kanzian, Christian;Runggaldier SJ, Edmund;Runggaldier, Edmund</t>
  </si>
  <si>
    <t>Philosophy; Social Science</t>
  </si>
  <si>
    <t>B3376.W564.C85 2007</t>
  </si>
  <si>
    <t>Wittgenstein, Ludwig, -- 1889-1951. ; Culture conflict -- Congresses. ; Cultural relations -- Congresses. ; Intercultural communication -- Congresses. ; Culture -- Philosophy -- Congresses. ; Decision making -- Congresses.</t>
  </si>
  <si>
    <t>https://ebookcentral.proquest.com/lib/iuavit/detail.action?docID=1195514</t>
  </si>
  <si>
    <t>Interpreting Philosophy : The Elements of Philosophical Hermeneutics</t>
  </si>
  <si>
    <t>Rescher, Nicholas</t>
  </si>
  <si>
    <t>BD241.R43 2007eb</t>
  </si>
  <si>
    <t>Hermeneutics.</t>
  </si>
  <si>
    <t>https://ebookcentral.proquest.com/lib/iuavit/detail.action?docID=1195535</t>
  </si>
  <si>
    <t>Wittgenstein and the Philosophy of Information : Proceedings of the 30th International Ludwig Wittgenstein-Symposium in Kirchberg 2007</t>
  </si>
  <si>
    <t>Pichler, Alois;Hrachovec, Herbert;Pichler, Alois</t>
  </si>
  <si>
    <t>Science; Philosophy</t>
  </si>
  <si>
    <t>Q360.W58 2008eb</t>
  </si>
  <si>
    <t>Information theory -- Congresses. ; Knowledge, Theory of -- Congresses. ; Philosophy of information.</t>
  </si>
  <si>
    <t>https://ebookcentral.proquest.com/lib/iuavit/detail.action?docID=1195545</t>
  </si>
  <si>
    <t>Philosophy of the Information Society : Proceedings of the 30th International Ludwig Wittgenstein-Symposium in Kirchberg 2007</t>
  </si>
  <si>
    <t>Hrachovec, Herbert;Pichler, Alois;Pichler, Alois</t>
  </si>
  <si>
    <t>HM851.I56925 2007eb</t>
  </si>
  <si>
    <t>Wittgenstein, Ludwig, -- 1889-1951 -- Congresses. ; Information society -- Philosophy -- Congresses. ; Information technology -- Philosophy -- Congresses.</t>
  </si>
  <si>
    <t>https://ebookcentral.proquest.com/lib/iuavit/detail.action?docID=1195546</t>
  </si>
  <si>
    <t>Applied Ontology : An Introduction</t>
  </si>
  <si>
    <t>Munn, Katherine;Smith, Barry</t>
  </si>
  <si>
    <t>BD331.M86 2008eb</t>
  </si>
  <si>
    <t>Ontology. ; Bioinformatics. ; Ontologies (Information retrieval)</t>
  </si>
  <si>
    <t>https://ebookcentral.proquest.com/lib/iuavit/detail.action?docID=1195558</t>
  </si>
  <si>
    <t>Referenz, Quantifikation und Ontologische Festlegung</t>
  </si>
  <si>
    <t>Reicher, Maria Elisabeth</t>
  </si>
  <si>
    <t>BD331.R45 2005eb</t>
  </si>
  <si>
    <t>Ontology.</t>
  </si>
  <si>
    <t>https://ebookcentral.proquest.com/lib/iuavit/detail.action?docID=1195561</t>
  </si>
  <si>
    <t>Fostering the Ontological Turn : Gustav Bergmann (1906-1987)</t>
  </si>
  <si>
    <t>Egidi, Rosaria;Bonino, Guido</t>
  </si>
  <si>
    <t>B945.B474.F67 2008eb</t>
  </si>
  <si>
    <t>Bergmann, Gustav, -- 1906-1987 -- Congresses. ; Ontology -- Congresses.</t>
  </si>
  <si>
    <t>https://ebookcentral.proquest.com/lib/iuavit/detail.action?docID=1195574</t>
  </si>
  <si>
    <t>Ports, Piracy and Maritime War : Piracy in the English Channel and the Atlantic, C. 1280-C. 1330</t>
  </si>
  <si>
    <t>BRILL</t>
  </si>
  <si>
    <t>Heebll-Holm, Thomas</t>
  </si>
  <si>
    <t>Law; Social Science</t>
  </si>
  <si>
    <t>KZ7212 -- .H44 2013eb</t>
  </si>
  <si>
    <t>364.16/4</t>
  </si>
  <si>
    <t>Piracy (International law) -- History -- To 1500. ; Law, Medieval. ; Piracy -- English Channel region -- History -- To 1500. ; Piracy -- North Atlantic Region -- History -- To 1500.</t>
  </si>
  <si>
    <t>https://ebookcentral.proquest.com/lib/iuavit/detail.action?docID=1205493</t>
  </si>
  <si>
    <t>Daten und Phänomene : Ein Beitrag Zur Wissenschaftstheoretischen Realismusdebatte</t>
  </si>
  <si>
    <t>Apel, Jochen</t>
  </si>
  <si>
    <t>BD352.A64 2011eb</t>
  </si>
  <si>
    <t>Phenomenalism. ; Realism. ; Science -- Philosophy.</t>
  </si>
  <si>
    <t>https://ebookcentral.proquest.com/lib/iuavit/detail.action?docID=1209316</t>
  </si>
  <si>
    <t>Theoriebeladenheit und Objektivität : Zur Rolle der Beobachtung in Den Naturwissenschaften</t>
  </si>
  <si>
    <t>Adam, Matthias</t>
  </si>
  <si>
    <t>Philosophy; Science</t>
  </si>
  <si>
    <t>Q175.A33 2002eb</t>
  </si>
  <si>
    <t>Science -- Methodology. ; Objectivity. ; Science -- Philosophy.</t>
  </si>
  <si>
    <t>https://ebookcentral.proquest.com/lib/iuavit/detail.action?docID=1209317</t>
  </si>
  <si>
    <t>Das Wertfreiheitsideal in der Sozialen Erkenntnistheorie : Objektivität, Pluralismus und das Beispiel Frauengesundheitsforschung</t>
  </si>
  <si>
    <t>Büter, Anke;Büter, Anke</t>
  </si>
  <si>
    <t>BD175.B88 2012eb</t>
  </si>
  <si>
    <t>Social epistemology. ; Women -- Health and hygiene. ; Liberty.</t>
  </si>
  <si>
    <t>https://ebookcentral.proquest.com/lib/iuavit/detail.action?docID=1209342</t>
  </si>
  <si>
    <t>Consciousness and Subjectivity</t>
  </si>
  <si>
    <t>Miguens, Sofia;Preyer, Gerhard</t>
  </si>
  <si>
    <t>BD438.5.C66 2012eb</t>
  </si>
  <si>
    <t>Self (Philosophy) ; Consciousness. ; Subjectivity.</t>
  </si>
  <si>
    <t>https://ebookcentral.proquest.com/lib/iuavit/detail.action?docID=1209346</t>
  </si>
  <si>
    <t>Universality in Set Theories : A Study in Formal Ontology</t>
  </si>
  <si>
    <t>Bremer, Manuel</t>
  </si>
  <si>
    <t>BD311.B74 2013eb</t>
  </si>
  <si>
    <t>https://ebookcentral.proquest.com/lib/iuavit/detail.action?docID=1209347</t>
  </si>
  <si>
    <t>On the Nature of Philosophy and Other Philosophical Essays</t>
  </si>
  <si>
    <t>B29.R47 2012eb</t>
  </si>
  <si>
    <t>Philosophy.</t>
  </si>
  <si>
    <t>https://ebookcentral.proquest.com/lib/iuavit/detail.action?docID=1215533</t>
  </si>
  <si>
    <t>Medicine and Philosophy : A Twenty-First Century Introduction</t>
  </si>
  <si>
    <t>Johansson, Ingvar;Lynøe, Niels;Lynøe, Niels</t>
  </si>
  <si>
    <t>R723.J64 2008eb</t>
  </si>
  <si>
    <t>Medicine -- Philosophy. ; Medical ethics. ; Science -- Ethics. ; Philosophy. ; Science.</t>
  </si>
  <si>
    <t>https://ebookcentral.proquest.com/lib/iuavit/detail.action?docID=1215551</t>
  </si>
  <si>
    <t>Historische Erkenntnis Zwischen Objektivität und Perspektivität</t>
  </si>
  <si>
    <t>Kistenfeger, Jens</t>
  </si>
  <si>
    <t>History; Philosophy</t>
  </si>
  <si>
    <t>D16.8.K57 2011eb</t>
  </si>
  <si>
    <t>History -- Philosophy. ; Knowledge, Theory of. ; Objectivity.</t>
  </si>
  <si>
    <t>https://ebookcentral.proquest.com/lib/iuavit/detail.action?docID=1215560</t>
  </si>
  <si>
    <t>Die Praxis des Wissens : Können Als Quelle der Erkenntnis</t>
  </si>
  <si>
    <t>Schubert, Axel</t>
  </si>
  <si>
    <t>BD163.S38 2012eb</t>
  </si>
  <si>
    <t>Knowledge, Theory of. ; Pragmatism.</t>
  </si>
  <si>
    <t>https://ebookcentral.proquest.com/lib/iuavit/detail.action?docID=1215562</t>
  </si>
  <si>
    <t>A Two-Dimensionalist Guide to Conceptual Analysis</t>
  </si>
  <si>
    <t>Kipper, Jens</t>
  </si>
  <si>
    <t>B840.K57 2012eb</t>
  </si>
  <si>
    <t>Semantics (Philosophy) ; Analysis (Philosophy)</t>
  </si>
  <si>
    <t>https://ebookcentral.proquest.com/lib/iuavit/detail.action?docID=1215563</t>
  </si>
  <si>
    <t>Non-Locality and Possible World : A Counterfactual Perspective on Quantum Entanglement</t>
  </si>
  <si>
    <t>Bigaj, Tomasz F.</t>
  </si>
  <si>
    <t>Science: Physics; Science</t>
  </si>
  <si>
    <t>QC174.12.B538 2006eb</t>
  </si>
  <si>
    <t>Quantum theory. ; Quantum entanglement.</t>
  </si>
  <si>
    <t>https://ebookcentral.proquest.com/lib/iuavit/detail.action?docID=1215569</t>
  </si>
  <si>
    <t>Von der Physik Zur Metaphysik : Physikalische Vereinheitlichung und Stringansatz</t>
  </si>
  <si>
    <t>Hedrich, Reiner</t>
  </si>
  <si>
    <t>Philosophy; Science; Science: Physics</t>
  </si>
  <si>
    <t>QC794.6.S85.H43 200</t>
  </si>
  <si>
    <t>String models. ; Quantum field theory.</t>
  </si>
  <si>
    <t>https://ebookcentral.proquest.com/lib/iuavit/detail.action?docID=1215571</t>
  </si>
  <si>
    <t>The Necessary Structure of the All-Pervading Aether : Necessary Structure of the All-Pervading Aether</t>
  </si>
  <si>
    <t>Forrest, Peter</t>
  </si>
  <si>
    <t>QC177.F67 2012eb</t>
  </si>
  <si>
    <t>Ether (Space) ; Space and time.</t>
  </si>
  <si>
    <t>https://ebookcentral.proquest.com/lib/iuavit/detail.action?docID=1215593</t>
  </si>
  <si>
    <t>Relations and Predicates</t>
  </si>
  <si>
    <t>Hochberg, Herbert;Mulligan, Kevin</t>
  </si>
  <si>
    <t>BC181.R45 2004eb</t>
  </si>
  <si>
    <t>Prediction (Logic)</t>
  </si>
  <si>
    <t>https://ebookcentral.proquest.com/lib/iuavit/detail.action?docID=1215602</t>
  </si>
  <si>
    <t>Reduction : Between the Mind and the Brain</t>
  </si>
  <si>
    <t>Hieke, Alexander;Leitgeb, Hannes;Leitgeb, Hannes</t>
  </si>
  <si>
    <t>Psychology; Philosophy</t>
  </si>
  <si>
    <t>BF441.H54 2009eb</t>
  </si>
  <si>
    <t>Thought and thinking. ; Mind and body.</t>
  </si>
  <si>
    <t>https://ebookcentral.proquest.com/lib/iuavit/detail.action?docID=1215617</t>
  </si>
  <si>
    <t>Reduction - Abstraction - Analysis : Proceedings of the 31th International Ludwig Wittgenstein-Symposium in Kirchberg 2008</t>
  </si>
  <si>
    <t>BC108.H54 2009eb</t>
  </si>
  <si>
    <t>Logic -- Congresses. ; Reductionism -- Congresses. ; Abstraction -- Congresses. ; Analysis (Philosophy) -- Congresses.</t>
  </si>
  <si>
    <t>https://ebookcentral.proquest.com/lib/iuavit/detail.action?docID=1215618</t>
  </si>
  <si>
    <t>Sense and Reality : Essays Out of Swansea</t>
  </si>
  <si>
    <t>Edelman, John;Edelman, John</t>
  </si>
  <si>
    <t>B72.S46 2009eb</t>
  </si>
  <si>
    <t>Wittgenstein, Ludwig, -- 1889-1951. ; Philosophy -- Wales -- Swansea. ; Philosophy teachers -- Wales -- Swansea.</t>
  </si>
  <si>
    <t>https://ebookcentral.proquest.com/lib/iuavit/detail.action?docID=1215619</t>
  </si>
  <si>
    <t>Die Natur der Farben</t>
  </si>
  <si>
    <t>Dorsch, Fabian</t>
  </si>
  <si>
    <t>B105.C455.D67 2009eb</t>
  </si>
  <si>
    <t>Color (Philosophy) ; Color -- Psychological aspects.</t>
  </si>
  <si>
    <t>https://ebookcentral.proquest.com/lib/iuavit/detail.action?docID=1215623</t>
  </si>
  <si>
    <t>Gottes Werk und Teufels Wirken : Traum, Vision, Imagination in der Frühbyzantinischen Monastischen Literatur</t>
  </si>
  <si>
    <t>Krönung, Bettina;Krönung, Bettina;Demandt, Alexander</t>
  </si>
  <si>
    <t>Literature; Religion</t>
  </si>
  <si>
    <t>PA5010.K76 2014eb</t>
  </si>
  <si>
    <t>Byzantine literature -- History and criticism. ; Byzantine literature -- Themes, motives -- History and criticism. ; Byzantine Empire -- Historiography -- Psychological aspects.</t>
  </si>
  <si>
    <t>https://ebookcentral.proquest.com/lib/iuavit/detail.action?docID=1249741</t>
  </si>
  <si>
    <t>Histamine H4 Receptor : A Novel Drug Target for Immunoregulation and Inflammation</t>
  </si>
  <si>
    <t>Stark, Holger</t>
  </si>
  <si>
    <t>Science; Science: Biology/Natural History; Medicine</t>
  </si>
  <si>
    <t>QP801.H5</t>
  </si>
  <si>
    <t>616.0473;616/.0473</t>
  </si>
  <si>
    <t>Histamine.</t>
  </si>
  <si>
    <t>https://ebookcentral.proquest.com/lib/iuavit/detail.action?docID=1249831</t>
  </si>
  <si>
    <t>Theodor Heuss As Private Citizen and Elder Statesman</t>
  </si>
  <si>
    <t>Günther, Frieder;Günther, Frieder</t>
  </si>
  <si>
    <t>DD220 -- .T44 2014eb</t>
  </si>
  <si>
    <t>Germany -- History -- 1871-1918. ; Germany -- History -- 20th century.</t>
  </si>
  <si>
    <t>https://ebookcentral.proquest.com/lib/iuavit/detail.action?docID=1249964</t>
  </si>
  <si>
    <t>Bird Ringing Station Manual</t>
  </si>
  <si>
    <t>Busse, Przemyslaw;Meissner, Wlodzimierz</t>
  </si>
  <si>
    <t>Science; Science: Zoology</t>
  </si>
  <si>
    <t>QL698.9</t>
  </si>
  <si>
    <t>Bird banding. ; Birds -- Germany. ; Birds -- Migration. ; Passeriformes -- Migration.</t>
  </si>
  <si>
    <t>https://ebookcentral.proquest.com/lib/iuavit/detail.action?docID=1249965</t>
  </si>
  <si>
    <t>Retirement Timing and Social Stratification : A Comparative Study of Labor Market Exit and Age Norms in Western Europe</t>
  </si>
  <si>
    <t>Radl, Jonas</t>
  </si>
  <si>
    <t>HD7108.4.E85 R34 2014</t>
  </si>
  <si>
    <t>Labor market -- Europe, Western. ; Labor market. ; Retirement age -- Europe, Western. ; Retirement age.</t>
  </si>
  <si>
    <t>https://ebookcentral.proquest.com/lib/iuavit/detail.action?docID=1249968</t>
  </si>
  <si>
    <t>Environmental Democracy at the Global Level: : Rights and Duties for a New Citizenship</t>
  </si>
  <si>
    <t>Parola, Giulia</t>
  </si>
  <si>
    <t>GE180</t>
  </si>
  <si>
    <t>Democracy -- Environmental aspects. ; Environmental law -- European Union countries. ; Environmental law, International. ; Environmental policy -- Citizen participation. ; Environmentalism.</t>
  </si>
  <si>
    <t>https://ebookcentral.proquest.com/lib/iuavit/detail.action?docID=1249969</t>
  </si>
  <si>
    <t>Europe and the Gospel : Past Influences, Current Developments, Mission Challenges</t>
  </si>
  <si>
    <t>Van de Poll, Evert</t>
  </si>
  <si>
    <t>BR162</t>
  </si>
  <si>
    <t>Gospel. ; Missions -- Europe. ; Missions -- History.</t>
  </si>
  <si>
    <t>https://ebookcentral.proquest.com/lib/iuavit/detail.action?docID=1249975</t>
  </si>
  <si>
    <t>Monumental Polovtsian Statues in Eastern Europe : The Archaeology, Conservation and Protection</t>
  </si>
  <si>
    <t>Golebiowska-Tobiasz, Aneta</t>
  </si>
  <si>
    <t>Fine Arts; History</t>
  </si>
  <si>
    <t>NB1583 .G65 2013</t>
  </si>
  <si>
    <t>Kipchak (Turkic people) -- Antiquities. ; Stele (Archaeology) -- Europe, Eastern. ; Stone carving -- Conservation and restoration -- Europe, Eastern.</t>
  </si>
  <si>
    <t>https://ebookcentral.proquest.com/lib/iuavit/detail.action?docID=1249976</t>
  </si>
  <si>
    <t>Russian Policy in the Orthodox East : The Patriarchate of Constantinople (1878-1914)</t>
  </si>
  <si>
    <t>Gerd, Lora</t>
  </si>
  <si>
    <t>BX101;BX410</t>
  </si>
  <si>
    <t>281.9/47/09049</t>
  </si>
  <si>
    <t>Catholic Church -- Oriental rites -- History. ; Church and state--Russia (Federation). ; Orthodox Eastern Church -- History.</t>
  </si>
  <si>
    <t>https://ebookcentral.proquest.com/lib/iuavit/detail.action?docID=1249979</t>
  </si>
  <si>
    <t>Behold Our Moral Body : Psychiatry, Duns Scotus, and Neuroscience</t>
  </si>
  <si>
    <t>Severino, Sally K.</t>
  </si>
  <si>
    <t>BL240.2</t>
  </si>
  <si>
    <t>Ethics. ; Neurosciences. ; Psychiatry. ; Science and religion.</t>
  </si>
  <si>
    <t>https://ebookcentral.proquest.com/lib/iuavit/detail.action?docID=1249991</t>
  </si>
  <si>
    <t>Children Disengaged from Armed Groups in Colombia : Integration Processes in Context</t>
  </si>
  <si>
    <t>Villanueva O'Driscoll, Julia;Loots, Gerrit;Derluyn, Ilse</t>
  </si>
  <si>
    <t>Military Science; Social Science</t>
  </si>
  <si>
    <t>UB416</t>
  </si>
  <si>
    <t>Child soldiers -- Rehabilitation. ; Child soldiers. ; Children and war.</t>
  </si>
  <si>
    <t>https://ebookcentral.proquest.com/lib/iuavit/detail.action?docID=1249993</t>
  </si>
  <si>
    <t>The Szczecin Lagoon Ecosystem : The Biotic Community of the Great Lagoon and Its Food Web Model</t>
  </si>
  <si>
    <t>Wolnomiejski, Norbert;Witek, Zbigniew</t>
  </si>
  <si>
    <t>Science: Biology/Natural History; Science: Zoology; Science</t>
  </si>
  <si>
    <t>QH92.7;QL430.7</t>
  </si>
  <si>
    <t>594/.4</t>
  </si>
  <si>
    <t>Baltic Coast -- Environmental conditions. ; Coastal ecology -- Szczecin Lagoon (Poland and Germany). ; Marine ecology -- Szczecin Lagoon (Poland and Germany).</t>
  </si>
  <si>
    <t>https://ebookcentral.proquest.com/lib/iuavit/detail.action?docID=1317866</t>
  </si>
  <si>
    <t>Musket, Map and Money: : How Military Technology Shaped Geopolitics and Economics</t>
  </si>
  <si>
    <t>Teng, Jimmy</t>
  </si>
  <si>
    <t>Military Science; Economics</t>
  </si>
  <si>
    <t>U27</t>
  </si>
  <si>
    <t>Economic history. ; Military art and science -- History. ; Military intelligence. ; Military weapons.</t>
  </si>
  <si>
    <t>https://ebookcentral.proquest.com/lib/iuavit/detail.action?docID=1317872</t>
  </si>
  <si>
    <t>Liberalismus : Zur Historischen Semantik Eines Europäischen Deutungsmusters</t>
  </si>
  <si>
    <t>Leonhard, Jö;German Historical Institute London, German Historical</t>
  </si>
  <si>
    <t>JC574.2.E85 -- L46 2001eb</t>
  </si>
  <si>
    <t>Liberalism -- Europe -- History. ; Political science -- Europe -- History.</t>
  </si>
  <si>
    <t>https://ebookcentral.proquest.com/lib/iuavit/detail.action?docID=1344875</t>
  </si>
  <si>
    <t>Random Differential Equations in Scientific Computing</t>
  </si>
  <si>
    <t>Neckel, Tobias;Rupp, Florian</t>
  </si>
  <si>
    <t>Mathematics</t>
  </si>
  <si>
    <t>QA274.23</t>
  </si>
  <si>
    <t>Dynamic System. ; Numerical method. ; Stochastic differential equations.</t>
  </si>
  <si>
    <t>https://ebookcentral.proquest.com/lib/iuavit/detail.action?docID=1344891</t>
  </si>
  <si>
    <t>Auf Ewig Feind? : Das Deutschlandbild in Den Britischen Massenmedien Nach Dem Ersten Weltkrieg</t>
  </si>
  <si>
    <t>Wittek, Thomas;German Historical Institute London, German Historical</t>
  </si>
  <si>
    <t>Journalism; History</t>
  </si>
  <si>
    <t>DD120.G7 -- W58 2005eb</t>
  </si>
  <si>
    <t>Mass media -- Germany. ; Public opinion -- Germany. ; Mass media -- Great Britain. ; Public opinion -- Great Britain. ; Germany -- Relations -- Great Britain.</t>
  </si>
  <si>
    <t>https://ebookcentral.proquest.com/lib/iuavit/detail.action?docID=1344896</t>
  </si>
  <si>
    <t>Der Schatten des Volkes : Benjamin Constant und Die Anfänge Liberaler Repräsentationskultur Im Frankreich der Restaurationszeit 1814-1830</t>
  </si>
  <si>
    <t>Geiss, Peter</t>
  </si>
  <si>
    <t>DC148</t>
  </si>
  <si>
    <t>Constant, Benjamin, -- 1767-1830. ; Constant, Benjamin, -- 1767-1830 -- Political and social views. ; Liberalism -- France -- History -- 19th century. ; Representative government and representation -- France -- History -- 19th century. ; Political science -- France -- History -- 19th century. ; France -- Politics and government -- 1814-1830.</t>
  </si>
  <si>
    <t>https://ebookcentral.proquest.com/lib/iuavit/detail.action?docID=1345171</t>
  </si>
  <si>
    <t>Der Fall Nicolas Fouquet : Mäzenatentum Als Mittel Politischer Selbstdarstellung 1653-1661</t>
  </si>
  <si>
    <t>Howald, Christine</t>
  </si>
  <si>
    <t>N5262 .F68 H69 2011</t>
  </si>
  <si>
    <t>Fouquet, Nicolas, -- 1615-1680. ; Art patrons -- France -- Biography. ; Finance ministers -- France -- Biography.</t>
  </si>
  <si>
    <t>https://ebookcentral.proquest.com/lib/iuavit/detail.action?docID=1347153</t>
  </si>
  <si>
    <t>Zwischen Paris und Moskau : Kommunistische Vorstadtidentität und Lokale Erinnerungskultur in Ivry-Sur-Seine</t>
  </si>
  <si>
    <t>Léon, Cristina;Léon, Cristina</t>
  </si>
  <si>
    <t>DC420 .B384 2012</t>
  </si>
  <si>
    <t>Communism -- France -- Ivry -- History.</t>
  </si>
  <si>
    <t>https://ebookcentral.proquest.com/lib/iuavit/detail.action?docID=1347205</t>
  </si>
  <si>
    <t>Germany, Russia, and the Comintern. II - Documents (1918e 1943) - After the Archival Revolution : Nach der Archivrevolution: Neuerschlossene Quellen zu der Geschichte der KPD und den deutsch-russischen Beziehungen</t>
  </si>
  <si>
    <t>Weber, Hermann;Drabkin, Jakov;Bayerlein, Bernhard H.;Albert, Gleb</t>
  </si>
  <si>
    <t>HX280.5 .A6</t>
  </si>
  <si>
    <t>Communism -- Germany -- History. ; Germany -- Politics and government. ; Germany -- Politics and government -- 1871-</t>
  </si>
  <si>
    <t>https://ebookcentral.proquest.com/lib/iuavit/detail.action?docID=1377062</t>
  </si>
  <si>
    <t>La Descrizione Dei Tempi All'alba Dell'espansione Islamica : Un'indagine Sulla Storiografia Greca, Siriaca e Araba Fra VII e VIII Secolo</t>
  </si>
  <si>
    <t>Conterno, Maria</t>
  </si>
  <si>
    <t>Religion; Geography/Travel</t>
  </si>
  <si>
    <t>BP49 -- .C66 2014eb</t>
  </si>
  <si>
    <t>Theophanes, -- the Confessor, -- -approximately 818. ; Islam -- Historiography. ; Islam -- History -- To 1500. ; Historiography.</t>
  </si>
  <si>
    <t>Italian</t>
  </si>
  <si>
    <t>https://ebookcentral.proquest.com/lib/iuavit/detail.action?docID=1377095</t>
  </si>
  <si>
    <t>Deutschland, Russland, Komintern - Überblicke, Analysen, Diskussionen : Neue Perspektiven Auf Die Geschichte der KPD und Die Deutsch-Russischen Beziehungen (1918-1943)</t>
  </si>
  <si>
    <t>Weber, Hermann;Drabkin, Jakov;Bayerlein, Bernhard H.;Galkin, Aleksandr;Albert, Gleb J.;Galkin, Aleksandr</t>
  </si>
  <si>
    <t>HX11.I5 -- W43 2014eb</t>
  </si>
  <si>
    <t>324.243/075</t>
  </si>
  <si>
    <t>Communist International -- History. ; Communism -- Soviet Union -- History. ; Communism -- Germany -- History. ; Communist countries -- Foreign relations -- Russia. ; Communist countries -- Foreign relations -- Germany.</t>
  </si>
  <si>
    <t>https://ebookcentral.proquest.com/lib/iuavit/detail.action?docID=1377117</t>
  </si>
  <si>
    <t>Das Römische Spielewesen in der Spätantike</t>
  </si>
  <si>
    <t>Puk, Alexander</t>
  </si>
  <si>
    <t>Sport &amp;amp; Recreation; History</t>
  </si>
  <si>
    <t>GV31 -- .P85 2014eb</t>
  </si>
  <si>
    <t>Games -- Rome. ; Circus -- Rome. ; Amusements -- Rome.</t>
  </si>
  <si>
    <t>https://ebookcentral.proquest.com/lib/iuavit/detail.action?docID=1377136</t>
  </si>
  <si>
    <t>Learning History in a Transforming Digital World: a Book Project Subjected to Open Peer Review</t>
  </si>
  <si>
    <t>Demantowsky, Marko;Pallaske, Christoph</t>
  </si>
  <si>
    <t>Geography/Travel; History</t>
  </si>
  <si>
    <t>D16.255.C65 -- .G473 2015eb</t>
  </si>
  <si>
    <t>History -- Computer-assisted instruction. ; History -- Study and teaching (Higher) -- Technological innovations.</t>
  </si>
  <si>
    <t>https://ebookcentral.proquest.com/lib/iuavit/detail.action?docID=1394738</t>
  </si>
  <si>
    <t>Arbeit Im Nationalsozialismus</t>
  </si>
  <si>
    <t>Buggeln, Marc;Wildt, Michael</t>
  </si>
  <si>
    <t>DD256.7 -- .A734 2014eb</t>
  </si>
  <si>
    <t>National socialism and labor -- Congresses. ; Labor policy -- Germany -- Congresses. ; Forced labor -- Germany -- Congresses.</t>
  </si>
  <si>
    <t>https://ebookcentral.proquest.com/lib/iuavit/detail.action?docID=1394781</t>
  </si>
  <si>
    <t>Historyblogosphere : Bloggen in Den Geschichtswissenschaften</t>
  </si>
  <si>
    <t>Haber, Peter;Pfanzelter, Eva;Schreiner, Julia</t>
  </si>
  <si>
    <t>History; Library Science</t>
  </si>
  <si>
    <t>D16.117 -- .H577 2013eb</t>
  </si>
  <si>
    <t>Historiography -- Computer network resources. ; Blogs.</t>
  </si>
  <si>
    <t>https://ebookcentral.proquest.com/lib/iuavit/detail.action?docID=1394810</t>
  </si>
  <si>
    <t>Umwelt und Herrschaft in der Geschichte. Environnement et Pouvoir: une Approche Historique : Une Approche Historique</t>
  </si>
  <si>
    <t>Duceppe-Lamarre, François;Engels, Jens Ivo</t>
  </si>
  <si>
    <t>GE190.E85 -- .U494 2008eb</t>
  </si>
  <si>
    <t>Environmental policy -- Europe -- History -- Congresses. ; Environmental protection -- Europe -- History -- Congresses. ; Environmental policy -- History -- Congresses. ; Environmental protection -- History -- Congresses.</t>
  </si>
  <si>
    <t>https://ebookcentral.proquest.com/lib/iuavit/detail.action?docID=1433395</t>
  </si>
  <si>
    <t>The Linguistic Worldview : Ethnolinguistics, Cognition, and Culture</t>
  </si>
  <si>
    <t>Glaz, Adam;Danaher, David;Lozowski, Przemyslaw</t>
  </si>
  <si>
    <t>Social Science; Language/Linguistics</t>
  </si>
  <si>
    <t>P35</t>
  </si>
  <si>
    <t>Anthropological linguistics. ; Cognitive grammar. ; Language and culture. ; Linguistics. ; Semantics.</t>
  </si>
  <si>
    <t>https://ebookcentral.proquest.com/lib/iuavit/detail.action?docID=1433428</t>
  </si>
  <si>
    <t>Das 19. Jahrhundert Als Mediengesellschaft</t>
  </si>
  <si>
    <t>Requate, Jörg;Requate, Jörg</t>
  </si>
  <si>
    <t>P92.G3 -- .N564 2009eb</t>
  </si>
  <si>
    <t>Mass media -- Germany -- History -- 19th century -- Congresses. ; Mass media -- France -- History -- 19th century -- Congresses. ; Mass media and public opinion -- Germany -- History -- 19th century -- Congresses. ; Mass media and public opinion -- France -- History -- 19th century -- Congresses. ; Press -- Germany -- History -- 19th century -- Congresses. ; Press -- France -- History -- 19th century -- Congresses.</t>
  </si>
  <si>
    <t>https://ebookcentral.proquest.com/lib/iuavit/detail.action?docID=1433435</t>
  </si>
  <si>
    <t>Tous les Hommes Sont-Ils égaux? : Histoire Comparée des Pensées Raciales 1860-1930</t>
  </si>
  <si>
    <t>Reynaud Paligot, Carole</t>
  </si>
  <si>
    <t>HT1507 -- .T687 2009eb</t>
  </si>
  <si>
    <t>Racism -- History -- 19th century -- Congresses. ; Racism -- History -- 20th century -- Congresses. ; Race relations -- History -- 19th century -- Congresses. ; Race relations -- History -- 20th century -- Congresses.</t>
  </si>
  <si>
    <t>https://ebookcentral.proquest.com/lib/iuavit/detail.action?docID=1433436</t>
  </si>
  <si>
    <t>Remy Belleau and the Art of Healing</t>
  </si>
  <si>
    <t>Braybrook, Jean</t>
  </si>
  <si>
    <t>PQ1666</t>
  </si>
  <si>
    <t>Belleau, Remy, -- 1528-1577. ; Belleau, Remy.</t>
  </si>
  <si>
    <t>https://ebookcentral.proquest.com/lib/iuavit/detail.action?docID=1480531</t>
  </si>
  <si>
    <t>Michaelis Pselli Chronographia</t>
  </si>
  <si>
    <t>Reinsch, Diether Roderich</t>
  </si>
  <si>
    <t>DF591 -- .M534 2014eb</t>
  </si>
  <si>
    <t>Psellus, Michael. -- Chronographia. ; Byzantine Empire -- History -- 1025-1081.</t>
  </si>
  <si>
    <t>https://ebookcentral.proquest.com/lib/iuavit/detail.action?docID=1524370</t>
  </si>
  <si>
    <t>Nationale Identität und Transnationale Einflüsse : Amerikanisierung, Europäisierung und Globalisierung in Frankreich Nach Dem Zweiten Weltkrieg</t>
  </si>
  <si>
    <t>Marcowitz, Reiner;Deutsches Historisches Institut Paris</t>
  </si>
  <si>
    <t>HC276.4 -- .N385 2007eb</t>
  </si>
  <si>
    <t>Globalization -- France -- History -- 20th century -- Congresses. ; National characteristics, French -- Congresses. ; France -- Civilization -- American influences -- Congresses. ; France -- Civilization -- European influences -- Congresses. ; France -- Politics and government -- 1945- -- Congresses.</t>
  </si>
  <si>
    <t>French</t>
  </si>
  <si>
    <t>https://ebookcentral.proquest.com/lib/iuavit/detail.action?docID=1524372</t>
  </si>
  <si>
    <t>Mutation Breeding in Chickpea: : Perspectives and Prospects for Food Security</t>
  </si>
  <si>
    <t>Kozgar, Imran</t>
  </si>
  <si>
    <t>Agriculture</t>
  </si>
  <si>
    <t>SB351.C45</t>
  </si>
  <si>
    <t>Chickpea--Mutation breeding.</t>
  </si>
  <si>
    <t>https://ebookcentral.proquest.com/lib/iuavit/detail.action?docID=1524378</t>
  </si>
  <si>
    <t>Exploring Cultural Identities in Jean Rhys' Fiction</t>
  </si>
  <si>
    <t>Voicu, Cristina-Georgiana</t>
  </si>
  <si>
    <t>PR6035.H96</t>
  </si>
  <si>
    <t>Rhys, Jean -- Criticism and interpretation. ; Rhys, Jean.</t>
  </si>
  <si>
    <t>https://ebookcentral.proquest.com/lib/iuavit/detail.action?docID=1524415</t>
  </si>
  <si>
    <t>Simon of Genoa's Medical Lexicon</t>
  </si>
  <si>
    <t>Zipser, Barbara</t>
  </si>
  <si>
    <t>RS122.95 .Z384 2013</t>
  </si>
  <si>
    <t>Medicine. ; Pharmaceutical preparations. ; Pharmacology.</t>
  </si>
  <si>
    <t>https://ebookcentral.proquest.com/lib/iuavit/detail.action?docID=1563454</t>
  </si>
  <si>
    <t>Russia in the Reign of Aleksei Mikhailovich</t>
  </si>
  <si>
    <t>Kotoshikhin, Grigorii Karpovich;Poe, Marshall;Uroff, Benjamin</t>
  </si>
  <si>
    <t>DK119;DK219.6.U54</t>
  </si>
  <si>
    <t>Aleksei Mikhailovich, Czar of Russia, 1629-1676 -- Exhibitions. ; Russland.</t>
  </si>
  <si>
    <t>https://ebookcentral.proquest.com/lib/iuavit/detail.action?docID=1575463</t>
  </si>
  <si>
    <t>150 Years of German Administrative Justice: Lecture Before the Berlin Law Society on 9 October 2013 at the Berlin-Brandenburg Upper Administrative Court : Vortrag, Gehalten Vor der Juristischen Gesellschaft Zu Berlin Am 9. Oktober 2013 Im OVG Berlin-Brandenburg</t>
  </si>
  <si>
    <t>Hien, Eckart</t>
  </si>
  <si>
    <t>K2120 -- .H54 2014eb</t>
  </si>
  <si>
    <t>Appellate courts -- Germany.</t>
  </si>
  <si>
    <t>https://ebookcentral.proquest.com/lib/iuavit/detail.action?docID=1586238</t>
  </si>
  <si>
    <t>A Galileo Forgery : Unmasking the New York Sidereus Nuncius</t>
  </si>
  <si>
    <t>Bredekamp, Horst;Brückle, Irene;Needham, Paul;Brückle, Irene</t>
  </si>
  <si>
    <t>Engineering: Manufacturing; Science; Engineering; Science: Astronomy</t>
  </si>
  <si>
    <t>QB41</t>
  </si>
  <si>
    <t>686.20945/31109032</t>
  </si>
  <si>
    <t>Astronomy -- Early works to 1800. ; Galilei, Galileo, 1564-1642. ; Jupiter (Planet) -- Satellites -- Early works to 1800.</t>
  </si>
  <si>
    <t>https://ebookcentral.proquest.com/lib/iuavit/detail.action?docID=1597580</t>
  </si>
  <si>
    <t>Major Trends in Theoretical and Applied Linguistics 3 : Selected Papers from the 20th ISTAL</t>
  </si>
  <si>
    <t>Lavidas, Nikolaos;Alexiou, Thomaï;Sougari, Areti Maria;Alexiou, Thomaï</t>
  </si>
  <si>
    <t>P121 .L384 2014</t>
  </si>
  <si>
    <t>Applied linguistics. ; Language and languages. ; Linguistics.</t>
  </si>
  <si>
    <t>https://ebookcentral.proquest.com/lib/iuavit/detail.action?docID=1609411</t>
  </si>
  <si>
    <t>Major Trends in Theoretical and Applied Linguistics 1 : Selected Papers from the 20th ISTAL</t>
  </si>
  <si>
    <t>P129</t>
  </si>
  <si>
    <t>Applied linguistics.</t>
  </si>
  <si>
    <t>https://ebookcentral.proquest.com/lib/iuavit/detail.action?docID=1609443</t>
  </si>
  <si>
    <t>Major Trends in Theoretical and Applied Linguistics 2 : Selected Papers from the 20th ISTAL</t>
  </si>
  <si>
    <t>P53.8</t>
  </si>
  <si>
    <t>https://ebookcentral.proquest.com/lib/iuavit/detail.action?docID=1609457</t>
  </si>
  <si>
    <t>An Experimental Study on Adhesive or Anti-Adhesive, Bio-inspired Experimental Nanomaterials</t>
  </si>
  <si>
    <t>Lepore, Emiliano;Pugno, Nicola</t>
  </si>
  <si>
    <t>Engineering; Engineering: General</t>
  </si>
  <si>
    <t>MLCM 2017/45860 (Q)</t>
  </si>
  <si>
    <t>Adhesive. ; Nanostructured materials. ; Nanotechnology.</t>
  </si>
  <si>
    <t>https://ebookcentral.proquest.com/lib/iuavit/detail.action?docID=1634353</t>
  </si>
  <si>
    <t>West Germany in the CSCE Process, 1975-1983: the Reversal of Diplomacy : Die Umkehrung der Diplomatie</t>
  </si>
  <si>
    <t>Peter, Matthias</t>
  </si>
  <si>
    <t>DD258.85.E85 -- .P484 2015eb</t>
  </si>
  <si>
    <t>Conference on Security and Cooperation in Europe (Organization) -- History -- 20th century. ; Germany (West) -- Foreign relations -- Europe. ; Europe -- Foreign relations -- Germany (West)</t>
  </si>
  <si>
    <t>https://ebookcentral.proquest.com/lib/iuavit/detail.action?docID=1642656</t>
  </si>
  <si>
    <t>Trust As an Element of 20th Century International Relations : Vertrauen, Misstrauen und die Außenpolitik der Bundesrepublik Deutschland</t>
  </si>
  <si>
    <t>Kreis, Reinhild</t>
  </si>
  <si>
    <t>Science: Anatomy/Physiology; Science; History</t>
  </si>
  <si>
    <t>DD258.8.D57 2015</t>
  </si>
  <si>
    <t>Germany -- Foreign relations.</t>
  </si>
  <si>
    <t>https://ebookcentral.proquest.com/lib/iuavit/detail.action?docID=1642701</t>
  </si>
  <si>
    <t>The German Foreign Office under National Socialism</t>
  </si>
  <si>
    <t>Hürter, Johannes;Mayer, Michael;Hürter, Johannes</t>
  </si>
  <si>
    <t>JX1796 -- .A979 2014eb</t>
  </si>
  <si>
    <t>Germany. -- Auswärtiges Amt. ; National socialism. ; Germany -- Politics and government -- 1933-1945.</t>
  </si>
  <si>
    <t>https://ebookcentral.proquest.com/lib/iuavit/detail.action?docID=1642715</t>
  </si>
  <si>
    <t>Inszenierte Moderne : Populäres Theater in Berlin und London, 1880-1930</t>
  </si>
  <si>
    <t>Becker, Tobias;German Historical Institute London, German Historical</t>
  </si>
  <si>
    <t>PN2656.B4 -- .B36 2014eb</t>
  </si>
  <si>
    <t>Theater -- Germany -- Berlin -- 19th century. ; Theater -- Germany -- Berlin -- 20th century. ; Theater -- England -- London -- 19th century. ; Theater -- England -- London -- 20th century. ; Theater -- Europe -- History.</t>
  </si>
  <si>
    <t>https://ebookcentral.proquest.com/lib/iuavit/detail.action?docID=1642718</t>
  </si>
  <si>
    <t>Energy Efficiency Solutions for Historic Buildings : A Handbook</t>
  </si>
  <si>
    <t>Troi, Alexandra (EURAC research);Bastian, Zeno (Passive House Institute);Troi, Alexandra</t>
  </si>
  <si>
    <t>NA105 -- .E547 2015eb</t>
  </si>
  <si>
    <t>Historic buildings -- Conservation and restoration -- Handbooks, manuals, etc. ; Architecture and energy conservation -- Handbooks, manuals, etc.</t>
  </si>
  <si>
    <t>https://ebookcentral.proquest.com/lib/iuavit/detail.action?docID=1642761</t>
  </si>
  <si>
    <t>Öl und Souveränität : Petroknowledge und Energiepolitik in Den USA und Westeuropa in Den 1970er Jahren</t>
  </si>
  <si>
    <t>Graf, Rüdiger;Graf, Rüdiger</t>
  </si>
  <si>
    <t>HD9565 -- .G734 2014eb</t>
  </si>
  <si>
    <t>Petroleum industry and trade -- Political aspects -- United States -- History -- 20th century. ; Petroleum industry and trade -- Political aspects -- Europe, Western -- History -- 20th century. ; Energy policy -- United States -- History -- 20th century. ; Energy policy -- Europe, Western -- History -- 20th century.</t>
  </si>
  <si>
    <t>https://ebookcentral.proquest.com/lib/iuavit/detail.action?docID=1642781</t>
  </si>
  <si>
    <t>Designing Adaptive Virtual Worlds</t>
  </si>
  <si>
    <t>Gu, Ning;Maher, Mary Lou</t>
  </si>
  <si>
    <t>QA76.9.H85 .G384 2014</t>
  </si>
  <si>
    <t>Human-computer interaction. ; Multimedia systems. ; Virtual reality.</t>
  </si>
  <si>
    <t>https://ebookcentral.proquest.com/lib/iuavit/detail.action?docID=1652352</t>
  </si>
  <si>
    <t>The Global Commons in the 20th Century : Entwürfe für eine globale Welt</t>
  </si>
  <si>
    <t xml:space="preserve">Löhr, Isabella;Rehling, Andrea;Löhr, Isabella;Lohr, Isabella ;Rehling, Andrea </t>
  </si>
  <si>
    <t>JZ1318 -- .G55654 2014eb</t>
  </si>
  <si>
    <t>Globalization. ; International cooperation. ; World politics -- 1989- ; Global commons. ; World history.</t>
  </si>
  <si>
    <t>https://ebookcentral.proquest.com/lib/iuavit/detail.action?docID=1652397</t>
  </si>
  <si>
    <t>Shaping the Future Through Public Law: Presentations and Discussions from the Meeting of the Association of German Constitutional Law Professors in Greifswald on 2-5 October 2013 : Referate und Diskussionen auf der Tagung der Vereinigung der Deutschen Staatsrechtslehrer in Greifswald vom 2. bis 5. Oktober 2013</t>
  </si>
  <si>
    <t>Ehrenzeller, Bernhard;Wallrabenstein, Astrid;Haltern, Ulrich;et al., et</t>
  </si>
  <si>
    <t>KK4413.A67V47 2013</t>
  </si>
  <si>
    <t>Public law -- Germany -- Congresses. ; Constitutional law -- Germany -- Congresses.</t>
  </si>
  <si>
    <t>https://ebookcentral.proquest.com/lib/iuavit/detail.action?docID=1652464</t>
  </si>
  <si>
    <t>An Historical Geography of Tourism in Victoria, Australia : Case Studies</t>
  </si>
  <si>
    <t>Clark, Ian</t>
  </si>
  <si>
    <t>Business/Management; Tourism/Hospitality</t>
  </si>
  <si>
    <t>G155 .A75</t>
  </si>
  <si>
    <t>Manners and customs. ; Tourism -- Austria -- History. ; Victoria -- Social life and customs.</t>
  </si>
  <si>
    <t>https://ebookcentral.proquest.com/lib/iuavit/detail.action?docID=1663091</t>
  </si>
  <si>
    <t>Gender-UseIT : HCI, Usability und UX Unter Gendergesichtspunkten</t>
  </si>
  <si>
    <t>Hochschule Heilbronn, Kompetenzzentrum Technik-Diversity-Chancengleichheit;Marsden, Nicola;Kempf, Ute;Allhutter, Doris;Bath, Corinna;Both, Göde;Büllesfeld, Elisabeth;Draude, Claude;Erharter, Dorothea;Glomann, Leonhard</t>
  </si>
  <si>
    <t>QA76.9.H85 -- .G46 2014eb</t>
  </si>
  <si>
    <t>Human-computer interaction. ; User interfaces (Computer systems)</t>
  </si>
  <si>
    <t>https://ebookcentral.proquest.com/lib/iuavit/detail.action?docID=1663116</t>
  </si>
  <si>
    <t>Genuss Als Politikum : Kaffeekonsum in Beiden Deutschen Staaten</t>
  </si>
  <si>
    <t>Sigmund, Monika</t>
  </si>
  <si>
    <t>Social Science; Home Economics</t>
  </si>
  <si>
    <t>GT2919.G3 -- .S546 2015eb</t>
  </si>
  <si>
    <t>Coffee -- Germany -- History.</t>
  </si>
  <si>
    <t>https://ebookcentral.proquest.com/lib/iuavit/detail.action?docID=1663129</t>
  </si>
  <si>
    <t>Coordination Abilities in Volleyball</t>
  </si>
  <si>
    <t>Simonek, Jaromír;Simonek, Jaromír</t>
  </si>
  <si>
    <t>Health; Sport &amp;amp; Recreation</t>
  </si>
  <si>
    <t>GV1015.5.T73 S53 2015</t>
  </si>
  <si>
    <t>Volleyball -- Coaching. ; Volleyball -- Training.</t>
  </si>
  <si>
    <t>https://ebookcentral.proquest.com/lib/iuavit/detail.action?docID=1663210</t>
  </si>
  <si>
    <t>Abortion in the American Imagination : Before Life and Choice, 1880-1940</t>
  </si>
  <si>
    <t>Weingarten, Karen</t>
  </si>
  <si>
    <t>PS169</t>
  </si>
  <si>
    <t>810.9/355</t>
  </si>
  <si>
    <t>https://ebookcentral.proquest.com/lib/iuavit/detail.action?docID=1680085</t>
  </si>
  <si>
    <t>Reichenbach's Paradise : Constructing the Realm of Probabilstic Common Causes</t>
  </si>
  <si>
    <t>Wronski, Leszek</t>
  </si>
  <si>
    <t>Science: Physics; Science; Philosophy</t>
  </si>
  <si>
    <t>QC6</t>
  </si>
  <si>
    <t>Logic. ; Physics -- Philosophy. ; Reichenbach, Hans, 1891-1953.</t>
  </si>
  <si>
    <t>https://ebookcentral.proquest.com/lib/iuavit/detail.action?docID=1685351</t>
  </si>
  <si>
    <t>Médialité et Interprétation Contemporaine des Premières Guerres de Religion</t>
  </si>
  <si>
    <t>Haug-Moritz, Gabriele;Schilling, Lothar</t>
  </si>
  <si>
    <t>DC111 -- .M43 2014eb</t>
  </si>
  <si>
    <t>War -- Religious aspects -- Christianity -- Congresses. ; France -- History -- Wars of the Huguenots, 1562-1598 -- Congresses.</t>
  </si>
  <si>
    <t>https://ebookcentral.proquest.com/lib/iuavit/detail.action?docID=1692429</t>
  </si>
  <si>
    <t>Fear and Loathing in the North : Jews and Muslims in Medieval Scandinavia and the Baltic Region</t>
  </si>
  <si>
    <t>Heß, Cordelia;Adams, Jonathan;Heß, Cordelia</t>
  </si>
  <si>
    <t>DS135.S32 -- F43 2015eb</t>
  </si>
  <si>
    <t>305.892/40480902</t>
  </si>
  <si>
    <t>Jews -- Scandinavia -- History -- To 1500 -- Congresses. ; Muslims -- Scandinavia -- History -- To 1500 -- Congresses. ; Jews -- Baltic Sea Region -- History -- To 1500 -- Congresses. ; Muslims -- Baltic Sea Region -- History -- To 1500 -- Congresses. ; Scandinavia -- Ethnic relations -- Congresses. ; Baltic Sea Region -- Ethnic relations -- Congresses.</t>
  </si>
  <si>
    <t>https://ebookcentral.proquest.com/lib/iuavit/detail.action?docID=1692473</t>
  </si>
  <si>
    <t>The Contents of Perceptual Experience: a Kantian Perspective : A Kantian Perspective</t>
  </si>
  <si>
    <t>Tomaszewska, Anna</t>
  </si>
  <si>
    <t>B2798 .T384 2014</t>
  </si>
  <si>
    <t>Idealism, German. ; Kant, Immanuel, -- 1724-1804. ; Philosophy.</t>
  </si>
  <si>
    <t>https://ebookcentral.proquest.com/lib/iuavit/detail.action?docID=1692483</t>
  </si>
  <si>
    <t>Youth and Experiences of Ageing among Maa : Models of Society Evoked by the Maasai, Samburu, and Chamus of Kenya</t>
  </si>
  <si>
    <t>Spencer, Paul</t>
  </si>
  <si>
    <t>DT433.54 .S384 2014</t>
  </si>
  <si>
    <t>Kenya -- Social conditions. ; Kenya -- Social life and customs. ; Kenya -- Social policy.</t>
  </si>
  <si>
    <t>https://ebookcentral.proquest.com/lib/iuavit/detail.action?docID=1692485</t>
  </si>
  <si>
    <t>Palpation for Pelvic Floor Training</t>
  </si>
  <si>
    <t xml:space="preserve">Hanzal, Engelbert;Bartosch, Bernhard;Stelzhammer, Christine;Udier, Elisabeth;Udier, Elisabeth </t>
  </si>
  <si>
    <t>RC76.5 -- .P35 2014eb</t>
  </si>
  <si>
    <t>616.6/2</t>
  </si>
  <si>
    <t>Palpation. ; Pelvic floor -- Diseases.</t>
  </si>
  <si>
    <t>https://ebookcentral.proquest.com/lib/iuavit/detail.action?docID=1713021</t>
  </si>
  <si>
    <t>Carolingian Monasteries: Knowledge Transfer and Cultural Innovation : Wissenstransfer und kulturelle Innovation</t>
  </si>
  <si>
    <t>Becker, Julia;Licht, Tino;Weinfurter, Stefan</t>
  </si>
  <si>
    <t>BX2470.K33 2015</t>
  </si>
  <si>
    <t>Monastic and religious life -- Europe -- History -- Middle Ages, 600-1500 -- Congresses. ; Learning and scholarship -- History -- Medieval, 500-1500 -- Congresses. ; Civilization, Medieval -- Classical influences -- Congresses. ; Carolingians -- Religious life -- Congresses.</t>
  </si>
  <si>
    <t>https://ebookcentral.proquest.com/lib/iuavit/detail.action?docID=1713062</t>
  </si>
  <si>
    <t>Information and Communications Technology : In the 21st Century Classroom</t>
  </si>
  <si>
    <t>Pérez Marín, Diana;Pérez Marín, Diana</t>
  </si>
  <si>
    <t>Business/Management; Education</t>
  </si>
  <si>
    <t>HC430</t>
  </si>
  <si>
    <t>COMPUTERS -- Reference. ; Electronic information resource literacy -- Study and teaching (Secondary) -- United States -- Congresses. ; Information technology -- Study and teaching (Secondary) -- United States -- Congresses.</t>
  </si>
  <si>
    <t>https://ebookcentral.proquest.com/lib/iuavit/detail.action?docID=1727128</t>
  </si>
  <si>
    <t>Soviet Garrisons and German Administration in the Soviet Occupied Zone and Early East Germany: Documents : Dokumente</t>
  </si>
  <si>
    <t>Foitzik, Jan</t>
  </si>
  <si>
    <t>DD261.4 -- .S695 2015eb</t>
  </si>
  <si>
    <t>Germany (East) -- Politics and government. ; Germany (East) -- Politics and government -- Sources.</t>
  </si>
  <si>
    <t>https://ebookcentral.proquest.com/lib/iuavit/detail.action?docID=1727151</t>
  </si>
  <si>
    <t>Script-Bearing and Text-bearing Artifacts: on the Material Presence of the Written in Early Societies : Zur Materialen Präsenz des Geschriebenen in Frühen Gesellschaften</t>
  </si>
  <si>
    <t>Kehnel, Annette;Panagiotopoulos, Diamantis</t>
  </si>
  <si>
    <t>HM101</t>
  </si>
  <si>
    <t>301;306.409</t>
  </si>
  <si>
    <t>Civilization -- History. ; Popular culture -- History. ; Social history.</t>
  </si>
  <si>
    <t>https://ebookcentral.proquest.com/lib/iuavit/detail.action?docID=1727155</t>
  </si>
  <si>
    <t>Appearances and Usages of Holy Scriptures</t>
  </si>
  <si>
    <t>Quack, Joachim Friedrich;Luft, Daniela Christina</t>
  </si>
  <si>
    <t>Religion; Fiction</t>
  </si>
  <si>
    <t>BL71 -- .E77 2014eb</t>
  </si>
  <si>
    <t>Sacred books -- History and criticism -- Congresses. ; Material culture -- Religious aspects -- Congresses.</t>
  </si>
  <si>
    <t>https://ebookcentral.proquest.com/lib/iuavit/detail.action?docID=1727173</t>
  </si>
  <si>
    <t>Verborgen, Unsichtbar, Unlesbar - Zur Problematik Restringierter Schriftpräsenz</t>
  </si>
  <si>
    <t>Frese, Tobias;Keil, Wilfried E.;Krüger, Kristina;Krüger, Kristina</t>
  </si>
  <si>
    <t>Fiction; Social Science; Language/Linguistics</t>
  </si>
  <si>
    <t>P211 -- .V47 2014eb</t>
  </si>
  <si>
    <t>Writing -- History -- To 1500 -- Congresses.</t>
  </si>
  <si>
    <t>https://ebookcentral.proquest.com/lib/iuavit/detail.action?docID=1727238</t>
  </si>
  <si>
    <t>Family Life in Adolescence</t>
  </si>
  <si>
    <t>Noller, Patricia;Atkin, Sharon</t>
  </si>
  <si>
    <t>HQ796 .N557 2015</t>
  </si>
  <si>
    <t>Adolescence. ; Adolescent psychology. ; Parent and teenager. ; Teenagers -- Family relationships.</t>
  </si>
  <si>
    <t>https://ebookcentral.proquest.com/lib/iuavit/detail.action?docID=1744549</t>
  </si>
  <si>
    <t>Praxeologie : Beiträge Zur Interdisziplinären Reichweite Praxistheoretischer Ansätze in Den Geistes- und Sozialwissenschaften</t>
  </si>
  <si>
    <t>Elias, Friederike;Franz, Albrecht;Murmann, Henning;Weiser, Ulrich Wilhelm</t>
  </si>
  <si>
    <t>B832.2 -- .P73 2014eb</t>
  </si>
  <si>
    <t>Praxeology. ; Human behavior.</t>
  </si>
  <si>
    <t>https://ebookcentral.proquest.com/lib/iuavit/detail.action?docID=1744550</t>
  </si>
  <si>
    <t>Introduction to Modern Instrumentation : For Hydraulics and Environmental Sciences</t>
  </si>
  <si>
    <t>Guaraglia, Dardo Oscar;Pousa, Jorge Lorenzo</t>
  </si>
  <si>
    <t>Engineering: Civil; Engineering; Engineering: Environmental</t>
  </si>
  <si>
    <t>TC160</t>
  </si>
  <si>
    <t>Civil engineering. ; Hydraulics. ; Transducers.</t>
  </si>
  <si>
    <t>https://ebookcentral.proquest.com/lib/iuavit/detail.action?docID=1744557</t>
  </si>
  <si>
    <t>Copular Clauses and Focus Marking in Sumerian</t>
  </si>
  <si>
    <t>Zólyomi, Gábor;Zólyomi, Gábor</t>
  </si>
  <si>
    <t>PJ4025 .Z65 2015</t>
  </si>
  <si>
    <t>Sumerian language -- Syntax.</t>
  </si>
  <si>
    <t>https://ebookcentral.proquest.com/lib/iuavit/detail.action?docID=1744558</t>
  </si>
  <si>
    <t>Plug&amp;Play Places : Lifeworlds of Multilocal Creative Knowledge Workers</t>
  </si>
  <si>
    <t>Nadler, Robert</t>
  </si>
  <si>
    <t>HM621</t>
  </si>
  <si>
    <t>Arts -- Economic aspects. ; Creative ability -- Economic aspects. ; Cultural industries -- Economic aspects. ; Cultural industries -- Employees. ; Cultural industries -- Social aspects. ; Transnationalism.</t>
  </si>
  <si>
    <t>https://ebookcentral.proquest.com/lib/iuavit/detail.action?docID=1744595</t>
  </si>
  <si>
    <t>Marine Propulsion Simulation : Methods and Results</t>
  </si>
  <si>
    <t>Martelli, Michele</t>
  </si>
  <si>
    <t>Military Science; Engineering; Engineering: Mechanical; Engineering: General</t>
  </si>
  <si>
    <t>VM779 .M384 2015</t>
  </si>
  <si>
    <t>Marine diesel motors. ; Marine engines. ; Ship propulsion.</t>
  </si>
  <si>
    <t>https://ebookcentral.proquest.com/lib/iuavit/detail.action?docID=1744596</t>
  </si>
  <si>
    <t>Paper in Medieval Europe: Its Production and Use : Herstellung und Gebrauch</t>
  </si>
  <si>
    <t>Meyer, Carla;Schultz, Sandra;Schneidmüller, Bernd;Schultz, Sandra</t>
  </si>
  <si>
    <t>Engineering: Manufacturing; Engineering</t>
  </si>
  <si>
    <t>TS1092 -- .P375 2015eb</t>
  </si>
  <si>
    <t>Papermaking -- Europe -- History -- To 1500 -- Congresses. ; Paper -- Europe -- History -- To 1500 -- Congresses.</t>
  </si>
  <si>
    <t>https://ebookcentral.proquest.com/lib/iuavit/detail.action?docID=1759922</t>
  </si>
  <si>
    <t>Lucan und der Prinzipat : Inkonsistenz und Unzuverlässiges Erzählen Im Bellum Civile</t>
  </si>
  <si>
    <t>Kimmerle, Nadja</t>
  </si>
  <si>
    <t>Geography/Travel; Literature</t>
  </si>
  <si>
    <t>PA6480 -- .K566 2015eb</t>
  </si>
  <si>
    <t>Lucan, -- 39-65. -- Pharsalia. ; Epic poetry, Latin -- History and criticism.</t>
  </si>
  <si>
    <t>https://ebookcentral.proquest.com/lib/iuavit/detail.action?docID=1767601</t>
  </si>
  <si>
    <t>The Common Good by Means of Competition? : Berichte und Diskussionen auf der Tagung der Vereinigung der Deutschen Staatsrechtslehrer in Graz vom 7. bis 10. Oktober 2009</t>
  </si>
  <si>
    <t xml:space="preserve">Peters, Anne;Giegerich, Thomas;Hatje, Armin;Et Al, </t>
  </si>
  <si>
    <t>KK158 -- .V474 2010eb</t>
  </si>
  <si>
    <t>Conflict of laws -- Congresses. ; Competition -- Germany -- Congresses.</t>
  </si>
  <si>
    <t>https://ebookcentral.proquest.com/lib/iuavit/detail.action?docID=1783874</t>
  </si>
  <si>
    <t>Soziale Elite und Christentum : Studien Zu Ordo-Angehörigen Unter Den Frühen Christen</t>
  </si>
  <si>
    <t>Weiß, Alexander;Weiß, Alexander</t>
  </si>
  <si>
    <t>BR163.W46 2015</t>
  </si>
  <si>
    <t>Christianity and other religions. ; Church history -- Primitive and early church, ca. 30-600. ; Identification (Religion). ; Religions -- Relations.</t>
  </si>
  <si>
    <t>https://ebookcentral.proquest.com/lib/iuavit/detail.action?docID=1787135</t>
  </si>
  <si>
    <t>A Typological Perspective on Latvian Grammar</t>
  </si>
  <si>
    <t>Kalnaca, Andra</t>
  </si>
  <si>
    <t>PG8835</t>
  </si>
  <si>
    <t>Latvian language -- Grammar -- Outlines, syllabi, etc. ; Latvian language -- Grammar. ; Latvian language -- Textbooks for foreign speakers -- English. ; Latvian language.</t>
  </si>
  <si>
    <t>https://ebookcentral.proquest.com/lib/iuavit/detail.action?docID=1787139</t>
  </si>
  <si>
    <t>Made in Canada, Read in Spain : Essays on the Translation and Circulation of English-Canadian Literature</t>
  </si>
  <si>
    <t>Somacarrera, Pilar</t>
  </si>
  <si>
    <t>P306.8 .C3</t>
  </si>
  <si>
    <t>Canadian literature -- Translations -- History and criticism. ; Cross-cultural studies -- Canada. ; Multiculturalism -- Canada. ; Translating and interpreting -- Canada.</t>
  </si>
  <si>
    <t>https://ebookcentral.proquest.com/lib/iuavit/detail.action?docID=1787145</t>
  </si>
  <si>
    <t>Biochemistry Laboratory Manual for Undergraduates : An Inquiry-Based Approach</t>
  </si>
  <si>
    <t>Gerczei Fernandez, Timea;Pattison, Scott</t>
  </si>
  <si>
    <t>Science: Chemistry; Science: Biology/Natural History; Science</t>
  </si>
  <si>
    <t>QD415.5</t>
  </si>
  <si>
    <t>Biochemistry -- Laboratory manuals. ; Drug resistance in microorganisms -- Laboratory manuals. ; Molecular biology -- Laboratory manuals.</t>
  </si>
  <si>
    <t>https://ebookcentral.proquest.com/lib/iuavit/detail.action?docID=1787150</t>
  </si>
  <si>
    <t>Antike Mythologie in Christlichen Kontexten der Spätantike</t>
  </si>
  <si>
    <t>Leppin, Hartmut</t>
  </si>
  <si>
    <t>Religion; Fine Arts</t>
  </si>
  <si>
    <t>BL723 -- .A585 2015eb</t>
  </si>
  <si>
    <t>Mythology, Classical -- Themes, motives -- History. ; Civilization, Classical -- History and criticism. ; Church history -- Primitive and early church, ca. 30-600.</t>
  </si>
  <si>
    <t>https://ebookcentral.proquest.com/lib/iuavit/detail.action?docID=1787195</t>
  </si>
  <si>
    <t>Introduction to Paremiology : A Comprehensive Guide to Proverb Studies</t>
  </si>
  <si>
    <t>Hrisztova-Gotthardt, Hrisztalina;Aleksa Varga, Melita</t>
  </si>
  <si>
    <t>Social Science; Literature</t>
  </si>
  <si>
    <t>PN6401</t>
  </si>
  <si>
    <t>Proverbs in literature. ; Proverbs, African -- Juvenile literature.</t>
  </si>
  <si>
    <t>https://ebookcentral.proquest.com/lib/iuavit/detail.action?docID=1787209</t>
  </si>
  <si>
    <t>Materiality, Techniques and Society in Pottery Production : The Technological Study of Archaeological Ceramics Through Paste Analysis</t>
  </si>
  <si>
    <t>Albero Santacreu, Daniel</t>
  </si>
  <si>
    <t>GN799.P6</t>
  </si>
  <si>
    <t>Pottery -- Europe -- Congresses.</t>
  </si>
  <si>
    <t>https://ebookcentral.proquest.com/lib/iuavit/detail.action?docID=1787212</t>
  </si>
  <si>
    <t>Creativity: the Actor in Performance : The Actor in Performance</t>
  </si>
  <si>
    <t>Trenos, Helen</t>
  </si>
  <si>
    <t>Fine Arts; Literature</t>
  </si>
  <si>
    <t>PN1584</t>
  </si>
  <si>
    <t>Improvisation (Acting). ; Performance. ; Performing arts.</t>
  </si>
  <si>
    <t>https://ebookcentral.proquest.com/lib/iuavit/detail.action?docID=1787226</t>
  </si>
  <si>
    <t>Mathematics for the Physical Sciences</t>
  </si>
  <si>
    <t>Copley, Leslie</t>
  </si>
  <si>
    <t>Science; Mathematics; Science: Physics</t>
  </si>
  <si>
    <t>QC20 .C67 2014</t>
  </si>
  <si>
    <t>Green''s functions. ; Mathematical physics. ; Physics.</t>
  </si>
  <si>
    <t>https://ebookcentral.proquest.com/lib/iuavit/detail.action?docID=1787230</t>
  </si>
  <si>
    <t>Interacting with Presence : HCI and the Sense of Presence in Computer-Mediated Environments</t>
  </si>
  <si>
    <t>Riva, Giuseppe;Waterworth, John;Murray, Dianne</t>
  </si>
  <si>
    <t>Social Science; Computer Science/IT</t>
  </si>
  <si>
    <t>QA76.9.H85 .R384 2014</t>
  </si>
  <si>
    <t>Human-computer interaction -- Psychological aspects. ; Technology -- Social aspects. ; User interfaces (Computer systems) -- Psychological aspects. ; Virtual reality -- Psychological aspects.</t>
  </si>
  <si>
    <t>https://ebookcentral.proquest.com/lib/iuavit/detail.action?docID=1787235</t>
  </si>
  <si>
    <t>Miniaturization in Sample Preparation</t>
  </si>
  <si>
    <t>Pena Pereira, Francisco</t>
  </si>
  <si>
    <t>Science: Chemistry; Science</t>
  </si>
  <si>
    <t>QD75.22 .P384 2014</t>
  </si>
  <si>
    <t>Chemistry, Analytic -- Environmental aspects. ; Green chemistry. ; Microextraction.</t>
  </si>
  <si>
    <t>https://ebookcentral.proquest.com/lib/iuavit/detail.action?docID=1787238</t>
  </si>
  <si>
    <t>Enabling Positive Change : Flow and Complexity in Daily Experience</t>
  </si>
  <si>
    <t>Inghilleri, Paolo;Riva, Giuseppe;Riva, Eleonora</t>
  </si>
  <si>
    <t>Psychology</t>
  </si>
  <si>
    <t>BF11 .I384 2014</t>
  </si>
  <si>
    <t>Change (Psychology). ; Positive psychology. ; Psychology, Applied. ; Social change -- Psychological aspects.</t>
  </si>
  <si>
    <t>https://ebookcentral.proquest.com/lib/iuavit/detail.action?docID=1787242</t>
  </si>
  <si>
    <t>Arab Women in Algeria</t>
  </si>
  <si>
    <t>Auclert, Hubertine;Grenez Brovender, Jacqueline</t>
  </si>
  <si>
    <t>HQ1784 .A384 2014</t>
  </si>
  <si>
    <t>Feminism -- Arabic women in Algeria -- 19th century. ; Feminism -- Arabic women in Algeria -- 20th century. ; Women, Arab -- Algeria.</t>
  </si>
  <si>
    <t>https://ebookcentral.proquest.com/lib/iuavit/detail.action?docID=1789533</t>
  </si>
  <si>
    <t>Textbook of Cortical Brain Stimulation</t>
  </si>
  <si>
    <t>Canavero, Sergio</t>
  </si>
  <si>
    <t>RC332 .C384 2015</t>
  </si>
  <si>
    <t>Brain stimulation -- Therapeutic use. ; Medicine. ; Stroke -- Rehabilitation.</t>
  </si>
  <si>
    <t>https://ebookcentral.proquest.com/lib/iuavit/detail.action?docID=1809928</t>
  </si>
  <si>
    <t>Body Law and the Body of Law : A Comparative Study of Social Norm Inclusion in Norwegian and American Laws</t>
  </si>
  <si>
    <t>Hassenstab, Christine M.</t>
  </si>
  <si>
    <t>HM676</t>
  </si>
  <si>
    <t>Birth control -- Law and legislation. ; Social norms. ; Sterilization (Birth control).</t>
  </si>
  <si>
    <t>https://ebookcentral.proquest.com/lib/iuavit/detail.action?docID=1809930</t>
  </si>
  <si>
    <t>Galeni in Hippocratis Epidemiarum Librum I Commentariorum I-III Versio Arabica : Edidit, in Linguam Anglicam Vertit, Commentatus Est</t>
  </si>
  <si>
    <t>Vagelpohl, Uwe</t>
  </si>
  <si>
    <t>R126.H6 -- .E6 2014eb</t>
  </si>
  <si>
    <t>Hippocrates. -- Epidemics. -- Book 1. -- Parts 1-3. ; Medicine -- Early works to 1800. ; Medicine, Greek and Roman.</t>
  </si>
  <si>
    <t>Arabic</t>
  </si>
  <si>
    <t>https://ebookcentral.proquest.com/lib/iuavit/detail.action?docID=1820380</t>
  </si>
  <si>
    <t>Metapher und Metonymie : Theoretische, Methodische und Empirische Zugänge</t>
  </si>
  <si>
    <t>Spieß, Constanze;Köpcke, Klaus-Michael;Spieß, Constanze;Köpcke, Klaus-Michael</t>
  </si>
  <si>
    <t>P165 -- .M483 2015eb</t>
  </si>
  <si>
    <t>Cognitive grammar. ; Metaphor. ; Metonyms.</t>
  </si>
  <si>
    <t>https://ebookcentral.proquest.com/lib/iuavit/detail.action?docID=1820394</t>
  </si>
  <si>
    <t>Modern Slavery : A Comparative Study of the Definition of Trafficking in Persons</t>
  </si>
  <si>
    <t>Jansson, Dominika Borg</t>
  </si>
  <si>
    <t>K5297 .J36 2014</t>
  </si>
  <si>
    <t>345/.025</t>
  </si>
  <si>
    <t>Human trafficking -- Comparative studies.</t>
  </si>
  <si>
    <t>https://ebookcentral.proquest.com/lib/iuavit/detail.action?docID=1826875</t>
  </si>
  <si>
    <t>Reproductive Justice : The Politics of Health Care for Native American Women</t>
  </si>
  <si>
    <t>Gurr, Barbara</t>
  </si>
  <si>
    <t>Social Science; Health</t>
  </si>
  <si>
    <t>KIE1380</t>
  </si>
  <si>
    <t>https://ebookcentral.proquest.com/lib/iuavit/detail.action?docID=1865296</t>
  </si>
  <si>
    <t>Why Do We Do What We Do? : Motivation in History and the Social Sciences</t>
  </si>
  <si>
    <t>MacMullen, Ramsay</t>
  </si>
  <si>
    <t>B2949.D47 .M384 2014</t>
  </si>
  <si>
    <t>Choice (Psychology) -- Methodology. ; Decision making -- Methodology. ; Motivation (Psychology) -- History. ; Social sciences and history.</t>
  </si>
  <si>
    <t>https://ebookcentral.proquest.com/lib/iuavit/detail.action?docID=1867184</t>
  </si>
  <si>
    <t>Language MOOCs : Providing Learning, Transcending Boundaries</t>
  </si>
  <si>
    <t>Martín-Monje, Elena;Bárcena, Elena;Martín-Monje, Elena;Bárcena, Elena</t>
  </si>
  <si>
    <t>P121 .M384 2015</t>
  </si>
  <si>
    <t>Language acquisition. ; Language and languages. ; Linguistics.</t>
  </si>
  <si>
    <t>https://ebookcentral.proquest.com/lib/iuavit/detail.action?docID=1867301</t>
  </si>
  <si>
    <t>The Erosion of Constitutional Requirements. Reports and Discussions from the Meeting of the Association of German Constitutional Law Teachers in Erlangen from 1st to 4th of October 2008 : Berichte und Diskussionen Auf der Tagung der Vereinigung der Deutschen Staatsrechtslehrer in Erlangen Vom 1. Bis 4. Oktober 2008</t>
  </si>
  <si>
    <t xml:space="preserve">Sacksofsky, Ute;Möllers, Christoph;Davy, Ulrike;Axer, Peter ;et al., et;Möllers, Christoph;Mollers, Christoph ;Et Al, Ute </t>
  </si>
  <si>
    <t>KK4455</t>
  </si>
  <si>
    <t>342.443;342.4430852</t>
  </si>
  <si>
    <t>Constitutional history -- Germany -- Congresses. ; Constitutional law -- Germany -- Congresses. ; Democracy -- Germany -- Congresses.</t>
  </si>
  <si>
    <t>https://ebookcentral.proquest.com/lib/iuavit/detail.action?docID=1867338</t>
  </si>
  <si>
    <t>Dionysos in Classical Athens : An Understanding Through Images</t>
  </si>
  <si>
    <t>Isler-Kerényi, Cornelia</t>
  </si>
  <si>
    <t>BL820.B2 I7 2014</t>
  </si>
  <si>
    <t>292.2/113</t>
  </si>
  <si>
    <t>Dionysus -- (Greek deity) ; Dionysus -- (Greek deity) -- Cult. ; Dionysus -- (Greek deity) -- Art. ; Vase-painting, Greek -- Greece -- Athens. ; Vases, Red-figured -- Greece -- Athens.</t>
  </si>
  <si>
    <t>https://ebookcentral.proquest.com/lib/iuavit/detail.action?docID=1875445</t>
  </si>
  <si>
    <t>Globalization and Minority Cultures : The Role of Minor Cultural Groups in Shaping Our Global Future</t>
  </si>
  <si>
    <t>Croisy, Sophie</t>
  </si>
  <si>
    <t>Engineering: Electrical; Engineering; Social Science</t>
  </si>
  <si>
    <t>TK5103.592.F52 G56</t>
  </si>
  <si>
    <t>Optical fiber communication. ; Telecommunication. ; Minorities. ; Group identity. ; Globalization.</t>
  </si>
  <si>
    <t>https://ebookcentral.proquest.com/lib/iuavit/detail.action?docID=1875459</t>
  </si>
  <si>
    <t>Documents and the History of the Early Islamic World : 3rd Conference of the International Society for Arabic Papyrology, Alexandria, 23-26 March 2006</t>
  </si>
  <si>
    <t>International Society for Arabyic Papyrology, Conference Staff;Schubert, Alexander T.;Sijpesteijn, Petra</t>
  </si>
  <si>
    <t>Literature; Language/Linguistics</t>
  </si>
  <si>
    <t>PJ7593.I58 2006</t>
  </si>
  <si>
    <t>492/.717</t>
  </si>
  <si>
    <t>Manuscripts, Arabic (Papyri) -- Congresses.</t>
  </si>
  <si>
    <t>https://ebookcentral.proquest.com/lib/iuavit/detail.action?docID=1877182</t>
  </si>
  <si>
    <t>Materiale Textkulturen : Konzepte - Materialien - Praktiken</t>
  </si>
  <si>
    <t>Meier, Thomas;Ott, Michael R.;Sauer, Rebecca</t>
  </si>
  <si>
    <t>Philosophy; Fiction</t>
  </si>
  <si>
    <t>B832.2</t>
  </si>
  <si>
    <t>Philosophy, French -- 20th century. ; Praxeology -- History. ; Praxeology.</t>
  </si>
  <si>
    <t>https://ebookcentral.proquest.com/lib/iuavit/detail.action?docID=1880410</t>
  </si>
  <si>
    <t>An Introduction to Nonlinear Optimization Theory</t>
  </si>
  <si>
    <t>Durea, Marius;Strugariu, Radu</t>
  </si>
  <si>
    <t>QA402.5</t>
  </si>
  <si>
    <t>Mathematical optimization. ; MATLAB. ; Nonlinear theories.</t>
  </si>
  <si>
    <t>https://ebookcentral.proquest.com/lib/iuavit/detail.action?docID=1880417</t>
  </si>
  <si>
    <t>Commercial Orchids</t>
  </si>
  <si>
    <t>De, Lakshman Chandra</t>
  </si>
  <si>
    <t>SB409</t>
  </si>
  <si>
    <t>635.9;635.9344</t>
  </si>
  <si>
    <t>Orchid culture. ; Orchid industry. ; Orchids.</t>
  </si>
  <si>
    <t>https://ebookcentral.proquest.com/lib/iuavit/detail.action?docID=1880440</t>
  </si>
  <si>
    <t>L' historiographie Tardo-Antique et la Transmission des Savoirs</t>
  </si>
  <si>
    <t>Blaudeau, Philippe;Nuffelen, Peter</t>
  </si>
  <si>
    <t>D21.3 .B384 2015</t>
  </si>
  <si>
    <t>Historiography -- Congresses. ; Historiography. ; Public history -- Congresses.</t>
  </si>
  <si>
    <t>https://ebookcentral.proquest.com/lib/iuavit/detail.action?docID=1880442</t>
  </si>
  <si>
    <t>Riemann-Roch Spaces and Computation</t>
  </si>
  <si>
    <t>Alvanos, Paraskevas</t>
  </si>
  <si>
    <t>QA246 .A384 2015</t>
  </si>
  <si>
    <t>Geometry. ; Mathematics. ; Riemann hypothesis.</t>
  </si>
  <si>
    <t>https://ebookcentral.proquest.com/lib/iuavit/detail.action?docID=1880456</t>
  </si>
  <si>
    <t>Bilingual Europe : Latin and Vernacular Cultures - Examples of Bilingualism and Multilingualism C. 1300-1800</t>
  </si>
  <si>
    <t>Bloemendal, Jan</t>
  </si>
  <si>
    <t>PA2055.E8 -- .B56 2015eb</t>
  </si>
  <si>
    <t>470/.42</t>
  </si>
  <si>
    <t>Bilingualism -- Europe -- History. ; Indo-European languages -- Influence on Latin. ; Latin language -- Foreign elements -- Europe. ; Latin language -- Influence on Indo-European languages.</t>
  </si>
  <si>
    <t>https://ebookcentral.proquest.com/lib/iuavit/detail.action?docID=1991830</t>
  </si>
  <si>
    <t>Anfangsjahre der Berlin-Krise (Herbst 1958 Bis Herbst 1960)</t>
  </si>
  <si>
    <t>Wettig, Gerhard</t>
  </si>
  <si>
    <t>DK266 -- .C478 2015eb</t>
  </si>
  <si>
    <t>Soviet Union -- Foreign relations.</t>
  </si>
  <si>
    <t>https://ebookcentral.proquest.com/lib/iuavit/detail.action?docID=2035724</t>
  </si>
  <si>
    <t>Inspice Diligenter Codices : Philologische Studien Zu Augustins Umgang Mit Bibelhandschriften Und -übersetzungen</t>
  </si>
  <si>
    <t>Schirner, Rebekka S.</t>
  </si>
  <si>
    <t>BS4 -- .S357 2015eb</t>
  </si>
  <si>
    <t>Bible -- Manuscripts.</t>
  </si>
  <si>
    <t>https://ebookcentral.proquest.com/lib/iuavit/detail.action?docID=2035733</t>
  </si>
  <si>
    <t>The Densification Process of Wood Waste</t>
  </si>
  <si>
    <t>Krizan, Peter</t>
  </si>
  <si>
    <t>Engineering; Engineering: Chemical</t>
  </si>
  <si>
    <t>TP996 .W6</t>
  </si>
  <si>
    <t>Biomass energy. ; Forest products industry -- Waste disposal. ; Forests and forestry. ; Wood waste.</t>
  </si>
  <si>
    <t>https://ebookcentral.proquest.com/lib/iuavit/detail.action?docID=2039372</t>
  </si>
  <si>
    <t>The Far Horizons of Time : Time and Mind in the Universe</t>
  </si>
  <si>
    <t>Ransford, H. Chris</t>
  </si>
  <si>
    <t>QC173.59 .S65</t>
  </si>
  <si>
    <t>Space and time. ; Symmetry (Physics). ; Time reversal.</t>
  </si>
  <si>
    <t>https://ebookcentral.proquest.com/lib/iuavit/detail.action?docID=2039373</t>
  </si>
  <si>
    <t>Exercises with Solutions in Radiation Physics</t>
  </si>
  <si>
    <t>Nilsson, Bo N.</t>
  </si>
  <si>
    <t>Mathematics; Science: Physics; Science</t>
  </si>
  <si>
    <t>QC100 .N384 2015</t>
  </si>
  <si>
    <t>Physics. ; Radiation dosimetry. ; Science.</t>
  </si>
  <si>
    <t>https://ebookcentral.proquest.com/lib/iuavit/detail.action?docID=2048598</t>
  </si>
  <si>
    <t>Peace Through Communication: the Genscher System and the Policy of détente During the Second Cold War (1979-1982/3) : Das System Genscher und die Entspannungspolitik im Zweiten Kalten Krieg 1979–1982/83</t>
  </si>
  <si>
    <t>Bresselau von Bressensdorf, Agnes</t>
  </si>
  <si>
    <t>D848</t>
  </si>
  <si>
    <t>Intercultural communication. ; Peace-building -- International cooperation. ; World politics -- 1975-1985.</t>
  </si>
  <si>
    <t>https://ebookcentral.proquest.com/lib/iuavit/detail.action?docID=2056402</t>
  </si>
  <si>
    <t>The Habsburg Monarchy's Many-Languaged Soul : Translating and Interpreting, 1848-1918</t>
  </si>
  <si>
    <t>John Benjamins Publishing Company</t>
  </si>
  <si>
    <t>Wolf, Michaela;Sturge, Kate</t>
  </si>
  <si>
    <t>P119.32.A9</t>
  </si>
  <si>
    <t>306.44/9436</t>
  </si>
  <si>
    <t>Translating and interpreting - Austria - History - 20th century</t>
  </si>
  <si>
    <t>https://ebookcentral.proquest.com/lib/iuavit/detail.action?docID=2058746</t>
  </si>
  <si>
    <t>Zukünfte : Aufstieg und Krise der Zukunftsforschung 1945-1980</t>
  </si>
  <si>
    <t>Seefried, Elke</t>
  </si>
  <si>
    <t>KZ3410</t>
  </si>
  <si>
    <t>International law. ; International organization. ; Law -- Germany.</t>
  </si>
  <si>
    <t>https://ebookcentral.proquest.com/lib/iuavit/detail.action?docID=2077560</t>
  </si>
  <si>
    <t>Erinnerung an Diktatur und Krieg : Brennpunkte des Kulturellen Gedächtnisses Zwischen Russland und Deutschland Seit 1945</t>
  </si>
  <si>
    <t>Wirsching, Andreas;Zarusky, Jürgen;Ischtschenko, Viktor;Tschubarjan, Alexander</t>
  </si>
  <si>
    <t>History; Law</t>
  </si>
  <si>
    <t>DD115</t>
  </si>
  <si>
    <t>Germany -- History -- Revolution, 1848-1849. ; Germany -- Politics and government. ; Political parties -- Germany -- History -- 20th century.</t>
  </si>
  <si>
    <t>https://ebookcentral.proquest.com/lib/iuavit/detail.action?docID=2077563</t>
  </si>
  <si>
    <t>Mahnen und Regieren : Die Metapher des Hirten Im Früheren Mittelalter</t>
  </si>
  <si>
    <t>Suchan, Monika</t>
  </si>
  <si>
    <t>JN7 .S83 2015</t>
  </si>
  <si>
    <t>320.9409/021</t>
  </si>
  <si>
    <t>Church and state -- Europe -- History. ; Europe -- Kings and rulers. ; Europe -- Politics and government -- 476-1492. ; Metaphor -- Political aspects -- History. ; Metaphor in the Bible. ; Political culture -- Europe -- History -- To 1500. ; Political leadership -- Europe. ; Shepherds in the Bible.</t>
  </si>
  <si>
    <t>https://ebookcentral.proquest.com/lib/iuavit/detail.action?docID=2077568</t>
  </si>
  <si>
    <t>Unternehmer - Fakten und Fiktionen : Historisch-Biografische Studien</t>
  </si>
  <si>
    <t>Plumpe, Werner</t>
  </si>
  <si>
    <t>Business/Management</t>
  </si>
  <si>
    <t>HD62.5 .C384 2014</t>
  </si>
  <si>
    <t>Business planning. ; Business. ; Entrepreneurship. ; New business enterprises.</t>
  </si>
  <si>
    <t>https://ebookcentral.proquest.com/lib/iuavit/detail.action?docID=2129552</t>
  </si>
  <si>
    <t>Der Reformator Martin Luther 2017 : Eine Wissenschaftliche und Gedenkpolitische Bestandsaufnahme</t>
  </si>
  <si>
    <t>Schilling, Heinz</t>
  </si>
  <si>
    <t>BR323.7 .R44 2013</t>
  </si>
  <si>
    <t>Europe -- Civilization -- 16th century -- Congresses. ; Luther, Martin, 1483-1546 -- Congresses. ; Luther, Martin, 1483-1546. ; Reformation -- Congresses.</t>
  </si>
  <si>
    <t>https://ebookcentral.proquest.com/lib/iuavit/detail.action?docID=2129553</t>
  </si>
  <si>
    <t>Beyond the Witch Trials : Witchcraft and Magic in Enlightenment Europe</t>
  </si>
  <si>
    <t>Davies, Owen;De Blecourt, Willem</t>
  </si>
  <si>
    <t>BF1584.E9 -- B49 2004eb</t>
  </si>
  <si>
    <t>Witchcraft -- Europe -- History -- 18th century. ; Enlightenment -- Europe.</t>
  </si>
  <si>
    <t>https://ebookcentral.proquest.com/lib/iuavit/detail.action?docID=3016907</t>
  </si>
  <si>
    <t>Bildung und Briefe Im 6. Jahrhundert : Studien Zum Mailänder Diakon Magnus Felix Ennodius</t>
  </si>
  <si>
    <t xml:space="preserve">Schröder, Bianca-Jeanette;Schröder, Bianca-Jeanette;Schroder, Bianca-Jeanette </t>
  </si>
  <si>
    <t>BX4700.E56 -- S34 2007eb</t>
  </si>
  <si>
    <t>Ennodius, Magnus Felix, -- Saint, -- 474-521 -- Correspondence. ; Latin letters -- Criticism and interpretation.</t>
  </si>
  <si>
    <t>https://ebookcentral.proquest.com/lib/iuavit/detail.action?docID=3040295</t>
  </si>
  <si>
    <t>The German Prose Poem. Theory and History of a Modern Literary Genre : Theorie und Geschichte einer literarischen Gattung der Moderne</t>
  </si>
  <si>
    <t>Bunzel, Wolfgang</t>
  </si>
  <si>
    <t>PT595.B86 2005</t>
  </si>
  <si>
    <t>Prose poems, German--History and criticism.</t>
  </si>
  <si>
    <t>https://ebookcentral.proquest.com/lib/iuavit/detail.action?docID=3041522</t>
  </si>
  <si>
    <t>Barbarische Bürger : Die Isaurier und das Römische Reich</t>
  </si>
  <si>
    <t>Feld, Karl</t>
  </si>
  <si>
    <t>DS156.I82.F45 2005</t>
  </si>
  <si>
    <t>Isauria--History.</t>
  </si>
  <si>
    <t>https://ebookcentral.proquest.com/lib/iuavit/detail.action?docID=3041543</t>
  </si>
  <si>
    <t>Artikel 12 GG - Freiheit des Berufs und Grundrecht der Arbeit. der Verwaltungsvorbehalt : Berichte und Diskussionen Auf der Tagung der Vereinigung der Deutschen Staatsrechtslehrer in Göttingen Vom 3. Bis 6. Oktober 1984</t>
  </si>
  <si>
    <t>Schneider, Hans-Peter;Lecheler, Helmut;Maurer, Hartmut;Schnapp, Friedrich E.</t>
  </si>
  <si>
    <t>KK2886 -- .S36 1985eb</t>
  </si>
  <si>
    <t>Free choice of employment -- Germany (West) ; Right to labor -- Germany (West) ; Administrative law -- Germany (West)</t>
  </si>
  <si>
    <t>https://ebookcentral.proquest.com/lib/iuavit/detail.action?docID=3041822</t>
  </si>
  <si>
    <t>Körper und Christliche Lebensweise : Clemens Von Alexandreia und Sein Paidagogos</t>
  </si>
  <si>
    <t>Pujiula, Martin</t>
  </si>
  <si>
    <t>BR65.C65 -- P375 2006eb</t>
  </si>
  <si>
    <t>Clement, -- of Alexandria, Saint, -- ca. 150-ca. 215. -- Paedagogus.</t>
  </si>
  <si>
    <t>https://ebookcentral.proquest.com/lib/iuavit/detail.action?docID=3042124</t>
  </si>
  <si>
    <t>How Successful Is Naturalism?</t>
  </si>
  <si>
    <t>Gasser, Georg;Gasser, Georg</t>
  </si>
  <si>
    <t>B828.2.H69 2007eb</t>
  </si>
  <si>
    <t>Naturalism.</t>
  </si>
  <si>
    <t>https://ebookcentral.proquest.com/lib/iuavit/detail.action?docID=3042681</t>
  </si>
  <si>
    <t>Das Gesetz Als Norm und Maßnahme. das Besondere Gewaltverhältnis : Berichte und Aussprache Zu Den Berichten in Den Verhandlungen der Tagung der Deutschen Staatsrechtslehrer Zu Mainz Am 11. und 12. Oktober 1956</t>
  </si>
  <si>
    <t xml:space="preserve">Menger, Christian-Friedrich;Wehrhahn, Herbert ;Krüger, Herbert;Ule, Carl H.;Krüger, Herbert;Kra1/4ger, Herbert ;Ule, Carl H ;Kr Ger, Herbert ;Kruger, Herbert </t>
  </si>
  <si>
    <t>K235.G48 1957eb</t>
  </si>
  <si>
    <t>Law -- Philosophy. ; Jurisprudence. ; Administrative courts -- Germany (West) ; Judicial review of administrative acts -- Germany (West)</t>
  </si>
  <si>
    <t>https://ebookcentral.proquest.com/lib/iuavit/detail.action?docID=3042721</t>
  </si>
  <si>
    <t>Kabinettsfrage und Gesetzgebungsnotstand Nach Dem Bonner Grundgesetz. Tragweite der Generalklausel Im Art. 19 Abs. 4 des Bonner Grundgesetzes : Verhandlungen der Tagung der Deutschen Staatsrechtslehrer Zu Heidelberg Am 20. und 21. Oktober 1949. Mit Einem Auszug Aus der Aussprache</t>
  </si>
  <si>
    <t xml:space="preserve">Jellinek, Walter;Schneider, Hans;Klein, Friedrich ;Herrfahrdt, Heinrich;Schneider, Dr Hans ;Klein, Friedrich ;Herrfahrdt, Heinrich </t>
  </si>
  <si>
    <t>KK5428.J45 1950eb</t>
  </si>
  <si>
    <t>War and emergency powers -- Germany (West) ; Judicial review of administrative acts -- Germany (West)</t>
  </si>
  <si>
    <t>https://ebookcentral.proquest.com/lib/iuavit/detail.action?docID=3042729</t>
  </si>
  <si>
    <t>Begriff und Wesen des Sozialen Rechtsstaates. Die Auswärtige Gewalt der Bundesrepublik : Berichte und Aussprache Zu Den Berichten in Den Verhandlungen der Tagung der Deutschen Staatsrechtslehrer Zu Bonn Am 15. und 16. Oktober 1953</t>
  </si>
  <si>
    <t xml:space="preserve">Forsthoff, Ernst;Bachof, Otto ;Grewe, Wilhelm ;Menzel, Eberhard;Bachof, Otto ;Grewe, Wilhelm ;Menzel, Eberhard </t>
  </si>
  <si>
    <t>KK4450.V46 1954eb</t>
  </si>
  <si>
    <t>Constitutional law -- Germany (West) -- Congresses. ; Administrative law -- Germany (West) -- Congresses. ; Germany (West) -- Social policy -- Congresses. ; Germany (West) -- Foreign relations -- Congresses.</t>
  </si>
  <si>
    <t>https://ebookcentral.proquest.com/lib/iuavit/detail.action?docID=3042731</t>
  </si>
  <si>
    <t>Die Grenzen der Verfassungsgerichtsbarkeit. Die Gestaltung des Polizei- und Ordnungsrechts in Den Einzelnen Besatzungszonen : Verhandlungen der Tagung der Deutschen Staatsrechtslehrer Zu München Am 20. und 21. Oktober 1950. Mit Einem Auszug Aus der Aussprache</t>
  </si>
  <si>
    <t xml:space="preserve">Kaufmann, Erich;Drath, Martin ;Wolff, Hans J.;Gönnenwein, Otto;Gönnenwein, Otto;Wolff, Hans J ;Gannenwein, Otto ;G Nnenwein, Otto ;Drath, Martin ;Gonnenwein, Otto </t>
  </si>
  <si>
    <t>KK5456.A67.G74 1952</t>
  </si>
  <si>
    <t>Constitutional courts -- Germany (West) -- Congresses. ; Judicial review -- Germany (West) -- Congresses. ; Police -- Germany (West) -- Congresses. ; Administrative law -- Germany (West) -- Congresses.</t>
  </si>
  <si>
    <t>https://ebookcentral.proquest.com/lib/iuavit/detail.action?docID=3042756</t>
  </si>
  <si>
    <t>Der Grundrechtseingriff. Öffentlich-Rechtliche Rahmenbedingungen Einer Informationsordnung : Berichte und Diskussionen Auf der Tagung der Vereinigung der Deutschen Staatsrechtslehrer in Osnabrück Vom 1. Bis 4. Oktober 1997</t>
  </si>
  <si>
    <t xml:space="preserve">Bethge, Herbert;Weber-Dürler, Beatrice;Schoch, Friedrich ;Trute, Hans-Heinrich;Weber-Dürler, Beatrice;Schoch, Friedrich ;Trute, Hans-Heinrich </t>
  </si>
  <si>
    <t>KK5132.B48 1998eb</t>
  </si>
  <si>
    <t>Civil rights -- Germany. ; Public law -- Germany.</t>
  </si>
  <si>
    <t>https://ebookcentral.proquest.com/lib/iuavit/detail.action?docID=3042757</t>
  </si>
  <si>
    <t>Staatszwecke Im Verfassungsstaat - Nach 40 Jahren Grundgesetz. Die Bewältigung der Wissenschaftlichen und Technischen Entwicklungen Durch das Verwaltungsrecht : Berichte und Diskussionen Auf der Tagung der Vereinigung der Deutschen Staatsrechtslehrer in Hannover Vom 4. Bis 7. Oktober 1989</t>
  </si>
  <si>
    <t xml:space="preserve">Link, Heinz-Christoph;Ress, Georg ;Ipsen, Jö;Murswiek, Dietrich;Schlink, Bernhard;Ipsen, Jarn ;Murswiek, Dietrich ;Schlink, Bernhard ;Ipsen, J Rn </t>
  </si>
  <si>
    <t>KK4450.L56 1990eb</t>
  </si>
  <si>
    <t>Constitutional law -- Germany. ; Administrative law -- Germany.</t>
  </si>
  <si>
    <t>https://ebookcentral.proquest.com/lib/iuavit/detail.action?docID=3042767</t>
  </si>
  <si>
    <t>Ungeschriebenes Verfassungsrecht. Enteignung und Sozialisierung : Verhandlungen der Tagung der Deutschen Staatsrechtslehrer Zu Göttingen Am 18. und 19. Oktober 1951. Mit Einem Auszug Aus der Aussprache</t>
  </si>
  <si>
    <t xml:space="preserve">Hippel, Ernst von;Voigt, Alfred ;Ipsen, Hans P.;Ridder, Helmut K.;Voigt, Alfred ;Ipsen, Hans P ;Ridder, Helmut K </t>
  </si>
  <si>
    <t>KK5772.A67.U54 1952</t>
  </si>
  <si>
    <t>Eminent domain -- Germany (West) -- Congresses. ; Right of property -- Germany (West) -- Congresses. ; Government ownership -- Germany (West) -- Congresses.</t>
  </si>
  <si>
    <t>https://ebookcentral.proquest.com/lib/iuavit/detail.action?docID=3042780</t>
  </si>
  <si>
    <t>Deutschlands Aktuelle Verfassungslage : Berichte und Diskussionen Auf der Sondertagung der Vereinigung der Deutschen Staatsrechtslehrer in Berlin Am 27. April 1990</t>
  </si>
  <si>
    <t>Frowein, Jochen A.;Isensee, Josef ;Tomuschat, Christian;Randelzhofer, Albrecht</t>
  </si>
  <si>
    <t>KK4450.D48 1990eb</t>
  </si>
  <si>
    <t>Constitutional law -- Germany.</t>
  </si>
  <si>
    <t>https://ebookcentral.proquest.com/lib/iuavit/detail.action?docID=3042787</t>
  </si>
  <si>
    <t>Das Parlamentarische Regierungssystem des Grundgesetzes. Organisierte Einwirkungen Auf Die Verwaltung : Anlage - Erfahrungen - Zukunftseignung. Zur Lage der Zweiten Gewalt. Berichte und Diskussionen Auf der Tagung der Vereinigung der Deutschen Staatsrechtslehrer in Bielefeld Vom 2. Bis 5. Oktober 1974</t>
  </si>
  <si>
    <t xml:space="preserve">Oppermann, Thomas;Meyer, Hans;Schmidt, Walter ;Bartlsperger, Richard;Meyer, Hans ;Schmidt, Walter ;Bartlsperger, Richard </t>
  </si>
  <si>
    <t>KK5412.P37 1975eb</t>
  </si>
  <si>
    <t>Constitutional law -- Germany (West) -- Congresses.</t>
  </si>
  <si>
    <t>https://ebookcentral.proquest.com/lib/iuavit/detail.action?docID=3042790</t>
  </si>
  <si>
    <t>Verfassungsrecht und Einfaches Recht - Verfassungsgerichtsbarkeit und Fachgerichtsbarkeit. Primär- und Sekundärrechtsschutz Im Öffentlichen Recht : Berichte und Diskussionen Auf der Tagung der Vereinigung der Deutschen Staatsrechtslehrer in Würzburg Vom 3. Bis 6. Oktober 2001</t>
  </si>
  <si>
    <t xml:space="preserve">Alexy, Robert;Kunig, Philip;Heun, Werner;Hermes, Georg ;Erbguth, Wilfried ;Höfling, Wolfram;Streinz, Rudolf ;Epiney, Astrid ;Höfling, Wolfram;Hofling, Wolfram </t>
  </si>
  <si>
    <t>KK4449.V47 2002eb</t>
  </si>
  <si>
    <t>Constitutional law -- Germany -- Congresses. ; Courts -- Germany -- Congresses. ; Jurisdiction -- Germany -- Congresses.</t>
  </si>
  <si>
    <t>https://ebookcentral.proquest.com/lib/iuavit/detail.action?docID=3042794</t>
  </si>
  <si>
    <t>Die Staatsrechtslehre und Die Veränderung Ihres Gegenstandes. Gewährleistung Von Freiheit und Sicherheit Im Lichte Unterschiedlicher Staats- und Verfassungsverständnisse. Risikosteuerung Durch Verwaltungsrecht. Transparente Verwaltung - Konturen... : Berichte und Diskussionen Auf der Tagung der Vereinigung der Deutschen Staatsrechtslehrer in Hamburg Vom 1. Bis 4. Oktober 2003</t>
  </si>
  <si>
    <t xml:space="preserve">Kokott, Juliane;Vesting, Thomas;Brugger, Winfried;Gusy, Christoph ;et al., et;Et Al, Juliane ;Et Al, Winfried ;Et Al, Thomas ;Et Al, Christoph </t>
  </si>
  <si>
    <t>KK5572.K65 2004eb</t>
  </si>
  <si>
    <t>Administrative law -- Germany. ; Civil rights -- Germany. ; Constitutional law -- Germany.</t>
  </si>
  <si>
    <t>https://ebookcentral.proquest.com/lib/iuavit/detail.action?docID=3042810</t>
  </si>
  <si>
    <t>Arbeitsmarkt und Staatliche Lenkung. Staat und Religion : Berichte und Diskussionen Auf der Tagung der Vereinigung der Deutschen Staatsrechtslehrer in Heidelberg Vom 6. Bis 9. Oktober 1999</t>
  </si>
  <si>
    <t>Wieland, Joachim;Engel, Christoph;Danwitz, Thomas;Fiedler, Wilfried;Robbers, Gerhard;Brenner, Michael</t>
  </si>
  <si>
    <t>HD5779.W54 2000eb</t>
  </si>
  <si>
    <t>Labor market -- Germany. ; Religion and state -- Germany.</t>
  </si>
  <si>
    <t>https://ebookcentral.proquest.com/lib/iuavit/detail.action?docID=3042836</t>
  </si>
  <si>
    <t>Die Bindung des Richters an Gesetz und Verfassung. Verwaltungsverantwortung und Verwaltungsgerichtsbarkeit : Berichte und Diskussionen Auf der Tagung der Vereinigung der Deutschen Staatsrechtslehrer in Augsburg Vom 1. Bis 4. Oktober 1975</t>
  </si>
  <si>
    <t xml:space="preserve">Roellecke, Gerd;Starck, Christian ;Scholz, Rupert ;Schmidt-Assmann, Eberhard;Scholz, Rupert ;Schmidt-Assmann, Eberhard </t>
  </si>
  <si>
    <t>KK5580.R64 1976eb</t>
  </si>
  <si>
    <t>Administrative law -- Germany (West) -- Congresses. ; Administrative procedure -- Germany (West) -- Congresses. ; Rule of law -- Germany (West) -- Congresses.</t>
  </si>
  <si>
    <t>https://ebookcentral.proquest.com/lib/iuavit/detail.action?docID=3042841</t>
  </si>
  <si>
    <t>Der Verfassungsstaat Als Glied Einer Europäischen Gemeinschaft. Verwaltungsrecht Als Vorgabe Für Zivil- und Strafrecht : Berichte und Diskussionen Auf der Tagung der Vereinigung der Deutschen Staatsrechtslehrer in Zürich Vom 3. Bis 6. Oktober 1990</t>
  </si>
  <si>
    <t xml:space="preserve">Steinberger, Helmut;Klein, Eckart;Thürer, Daniel;Schröder, Meinhard;Jarass, Hans D.;Thurer, Daniel ;Steinberger, Helmut ;Klein, Dr Eckart ;Thurer, Daniel ;Schrader, Meinhard </t>
  </si>
  <si>
    <t>KJE4444.95.V47 1990</t>
  </si>
  <si>
    <t>Constitutional law -- European Economic Community countries -- Congresses. ; Administrative law -- Germany (West) -- Congresses.</t>
  </si>
  <si>
    <t>https://ebookcentral.proquest.com/lib/iuavit/detail.action?docID=3042847</t>
  </si>
  <si>
    <t>Die Bedeutung Gliedstaatlichen Verfassungsrechts in der Gegenwart. Die Einheit der Verwaltung Als Rechtsproblem : Berichte und Diskussionen Auf der Tagung der Vereinigung der Deutschen Staatsrechtslehrer in Passau Vom 7. Bis 10. Oktober 1987</t>
  </si>
  <si>
    <t xml:space="preserve">Vitzthum, Wolfgang;Funk, Bernd-Christian ;Schmid, Gerhard ;Bryde, Brun-Otto;Haverkate, Görg;Haverkate, Görg;Haverkate, Gorg;Haverkate, Garg ;Haverkate, G Rg ;Haverkate, Gorg </t>
  </si>
  <si>
    <t>KK4450.V58 1988eb</t>
  </si>
  <si>
    <t>https://ebookcentral.proquest.com/lib/iuavit/detail.action?docID=3042855</t>
  </si>
  <si>
    <t>Parteienstaatlichkeit - Krisensymptome des Demokratischen Verfassungsstaats? Die öffentlichrechtliche Anstalt : Berichte und Diskussionen Auf der Tagung der Vereinigung der Deutschen Staatsrechtslehrer in Freiburg I. Ue/CH Vom 2. Bis 5. Oktober 1985</t>
  </si>
  <si>
    <t xml:space="preserve">Stolleis, Michael;Schäffer, Heinz;Rhinow, René A.;Lange, Klaus;Breuer, Rüdiger;Sch Ffer, Heinz;Rhinow, Ren a;Breuer, R Diger;Sch Ffer, Heinz ;Rhinow, Ren a </t>
  </si>
  <si>
    <t>JN3971.A979.S76 198</t>
  </si>
  <si>
    <t>Political parties -- Germany (West) ; Constitutional law -- Germany (West) ; Public law -- Germany (West) ; Germany (West) -- Politics and government.</t>
  </si>
  <si>
    <t>https://ebookcentral.proquest.com/lib/iuavit/detail.action?docID=3042879</t>
  </si>
  <si>
    <t>Bürgerverantwortung Im Demokratischen Verfassungsstaat / Kontrolle der Verwaltung Durch Rechnungshöfe : Berichte und Diskussionen Auf der Tagung der Vereinigung der Deutschen Staatsrechtslehrer in Wien Vom 4. Bis 7. Oktober 1995</t>
  </si>
  <si>
    <t xml:space="preserve">Merten, Detlef;Berka, Walter ;Depenheuer, Otto ;Degenhart, Christoph;Schulze-Fielitz, Helmuth;Schäffer, Heinz;Ruch, Alexander;Schäffer, Heinz;Schaffer, Heinz ;Ruch, Alexander </t>
  </si>
  <si>
    <t>KK4450.M47 1996eb</t>
  </si>
  <si>
    <t>https://ebookcentral.proquest.com/lib/iuavit/detail.action?docID=3042909</t>
  </si>
  <si>
    <t>Verträge Zwischen Gliedstaaten Im Bundesstaat. Schranken Nichthoheitlicher Verwaltung : Aussprache Zu Den Berichten in Den Verhandlungen der Tagung der Deutschen Staatsrechtslehrer Zu Köln Vom 12. Bis 15. Oktober 1960</t>
  </si>
  <si>
    <t xml:space="preserve">Schneider, Hans;Schaumann, Wilfried;Mallmann, Walter;Zeidler, Karl;Schaumann, Wilfried;Mallmann, Walter ;Zeidler, Karl ;Schaumann, Wilfried </t>
  </si>
  <si>
    <t>KK5092.A23 1961eb</t>
  </si>
  <si>
    <t>Interstate agreements -- Germany (West)</t>
  </si>
  <si>
    <t>https://ebookcentral.proquest.com/lib/iuavit/detail.action?docID=3042911</t>
  </si>
  <si>
    <t>Die Staatsrechtliche Stellung der Ausländer in der Bundesrepublik Deutschland. Vertrauensschutz Im Verwaltungsrecht : Berichte und Diskussionen Auf der Tagung der Vereinigung der Deutschen Staatsrechtslehrer in Mannheim Vom 3. Bis 6. Oktober 1973</t>
  </si>
  <si>
    <t xml:space="preserve">Doehring, Karl;Isensee, Josef ;Kisker, Gunter ;Püttner, Günter;Püttner, Günter;Kisker, Gunter ;Puttner, Gunter ;P Ttner, G Nter </t>
  </si>
  <si>
    <t>KK6050.A67.S73 1974</t>
  </si>
  <si>
    <t>Aliens -- Germany (West) -- Congresses. ; Administrative acts -- Germany (West) -- Congresses.</t>
  </si>
  <si>
    <t>https://ebookcentral.proquest.com/lib/iuavit/detail.action?docID=3042969</t>
  </si>
  <si>
    <t>Der Deutsche Föderalismus. Die Diktatur des Reichspräsidenten : Verhandlungen der Tagung der Deutschen Staatsrechtslehrer Zu Jena Am 14. und 15. April 1924. Mit Eröffnungsansprache und Einer Zusammenfassung der Diskussionsreden</t>
  </si>
  <si>
    <t xml:space="preserve">Anschütz, Gerhard;Bilfinger, Karl ;Schmitt, Carl ;Jacobi, Erwin;Anschütz, Gerhard;Schmitt, Carl ;Jacobi, Erwin ;Ansch Tz, Gerhard </t>
  </si>
  <si>
    <t>KK5075.A67.V47 1973</t>
  </si>
  <si>
    <t>Federal government -- Germany -- Congresses. ; Presidents -- Germany -- Congresses. ; Executive power -- Germany -- Congresses. ; Constitutional law -- Germany -- Congresses.</t>
  </si>
  <si>
    <t>https://ebookcentral.proquest.com/lib/iuavit/detail.action?docID=3043002</t>
  </si>
  <si>
    <t>Gemeinschaftsaufgaben Im Bundesstaat. Partizipation an Verwaltungsentscheidungen : Berichte und Diskussionen Auf der Tagung der Vereinigung der Deutschen Staatsrechtslehrer in Salzburg Vom 4. Bis 7. Oktober 1972</t>
  </si>
  <si>
    <t xml:space="preserve">Frowein, Jochen A.;Münch, Ingo von;Schmitt-Glaeser, Walter ;Walter, Robert;Münch, Ingo von;Schmitt-Glaeser, Walter ;Walter, Robert ;M Nch, Ingo Von ;Munch, Ingo Von </t>
  </si>
  <si>
    <t>KK5086.F76 1973eb</t>
  </si>
  <si>
    <t>Exclusive and concurrent legislative powers -- Germany (West) ; Exclusive and concurrent legislative powers -- Europe.</t>
  </si>
  <si>
    <t>https://ebookcentral.proquest.com/lib/iuavit/detail.action?docID=3043006</t>
  </si>
  <si>
    <t>Das Grundgesetz und Die öffentliche Gewalt Internationaler Staatengemeinschaften. der Plan Als Verwaltungsrechtliches Institut : Berichte und Aussprache Zu Den Berichten in Den Verhandlungen der Tagung der Deutschen Staatsrechtslehrer Zu Erlangen Vom 7. Bis 9. Oktober 1959</t>
  </si>
  <si>
    <t xml:space="preserve">Erler, Georg;Thieme, Werner ;Imboden, Max ;Obermayer, Klaus;Thieme, Werner ;Imboden, Max ;Obermayer, Klaus </t>
  </si>
  <si>
    <t>JX1995.V45 1960eb</t>
  </si>
  <si>
    <t>International agencies -- Congresses. ; Sovereignty -- Congresses. ; Building laws -- Germany (West) -- Congresses. ; City planning and redevelopment law -- Germany (West) -- Congresses.</t>
  </si>
  <si>
    <t>https://ebookcentral.proquest.com/lib/iuavit/detail.action?docID=3043022</t>
  </si>
  <si>
    <t>Die Verfassungsrechtliche Stellung der Politischen Parteien Im Modernen Staat. das Verwaltungsverfahren : Berichte und Auszug Aus der Aussprache Zu Den Berichten in Den Verhandlungen der Tagung der Deutschen Staatsrechtslehrer Zu Wien Am 9. und 10. Oktober 1958</t>
  </si>
  <si>
    <t xml:space="preserve">Hesse, Konrad;Kafka, Gustav E.;Bettermann, Karl A.;Melichar, Erwin;Kafka, Gustav ;Bettermann, Karl A ;Melichar, Erwin </t>
  </si>
  <si>
    <t>JN3971.A979.H47 195</t>
  </si>
  <si>
    <t>Political parties -- Germany (West) ; Political parties -- Austria. ; Administrative procedure -- Germany (West) ; Administrative procedure -- Austria.</t>
  </si>
  <si>
    <t>https://ebookcentral.proquest.com/lib/iuavit/detail.action?docID=3043024</t>
  </si>
  <si>
    <t>Die Staatliche Intervention Im Bereich der Wirtschaft. Rechtsformen und Rechtsschutz. Die Gegenwartslage des Staatskirchenrechts : Verhandlungen der Tagung der Deutschen Staatsrechtslehrer Zu Marburg Am 16. und 17. Oktober 1952. Mit Einem Auszug Aus der Aussprache</t>
  </si>
  <si>
    <t xml:space="preserve">Scheuner, Ulrich;Schüle, Adolf;Weber, Werner ;Peters, Hans;Schüle, Adolf;Weber, Werner ;Peters, Hans ;Sch Le, Adolf </t>
  </si>
  <si>
    <t>KK6458.A67.S73 1954</t>
  </si>
  <si>
    <t>Restraint of trade -- Germany (West) ; Industrial policy -- Germany (West) ; Trade regulation -- Germany (West) ; Church and state -- Germany -- History -- 1945- ; Ecclesiastical law -- Germany (West)</t>
  </si>
  <si>
    <t>https://ebookcentral.proquest.com/lib/iuavit/detail.action?docID=3043028</t>
  </si>
  <si>
    <t>Prinzipien der Verfassungsinterpretation. Gefährdungshaftung Im öffentlichen Recht : Aussprache Zu Den Berichten in Den Verhandlungen der Tagung der Deutschen Staatsrechtslehrer Zu Freiburg Vom 4. Bis 7. Oktober 1961</t>
  </si>
  <si>
    <t xml:space="preserve">Schneider, Peter;Ehmke, Horst ;Jaenicke, Günther;Leisner, Walter;Jaenicke, Günther;Jaenicke, Ga1/4nther ;Leisner, Walter ;Jaenicke, G Nther ;Ehmke, Horst ;Jaenicke, Gunther </t>
  </si>
  <si>
    <t>KK5034.V47 1961eb</t>
  </si>
  <si>
    <t>Constitutional law -- Germany (West) -- Congresses. ; Government liability -- Germany (West) -- Congresses.</t>
  </si>
  <si>
    <t>https://ebookcentral.proquest.com/lib/iuavit/detail.action?docID=3043052</t>
  </si>
  <si>
    <t>Die Finanzverfassung Im Rahmen der Staatsverfassung. Verwaltung und Verwaltungsrechtsprechung : Berichte und Aussprache Zu Den Berichten in Den Verhandlungen der Tagung der Deutschen Staatsrechtslehrer Zu Hamburg Am 13. und 14. Oktober 1955</t>
  </si>
  <si>
    <t xml:space="preserve">Hettlage, Karl M.;Maunz, Theodor ;Becker, Erich ;Rumpf, Helmut;Maunz, Theodor ;Becker, Erich ;Rumpf, Helmut </t>
  </si>
  <si>
    <t>KK7059.F56 1956eb</t>
  </si>
  <si>
    <t>Finance, Public -- Law and legislation -- Germany (West) -- Congresses. ; Administrative law -- Germany (West) -- Congresses. ; Administrative courts -- Germany (West) -- Congresses.</t>
  </si>
  <si>
    <t>https://ebookcentral.proquest.com/lib/iuavit/detail.action?docID=3043058</t>
  </si>
  <si>
    <t>Leistungsgrenzen des Verfassungsrechts. Öffentliche Gemeinwohlverantwortung Im Wandel : Berichte und Diskussionen Auf der Tagung der Vereinigung der Deutschen Staatsrechtslehrer in St. Gallen Vom 1. Bis 5. Oktober 2002</t>
  </si>
  <si>
    <t xml:space="preserve">Herdegen, Matthias;Morlok, Martin;Korioth, Stefan ;Bogdandy, Armin Von;Heintzen, Markus;Voßkuhle, Andreas;Oebbecke, Janbernd;Burgi, Martin;Voakuhle, Andreas ;Oebbecke, Janbernd </t>
  </si>
  <si>
    <t>Science; Science: Geology; Law</t>
  </si>
  <si>
    <t>K3165.H47 2003eb</t>
  </si>
  <si>
    <t>Constitutional law.</t>
  </si>
  <si>
    <t>https://ebookcentral.proquest.com/lib/iuavit/detail.action?docID=3043373</t>
  </si>
  <si>
    <t>Der Verfassungsstaat Im Geflecht der Internationalen Beziehungen. Gemeinden und Kreise Vor Den öffentlichen Aufgaben der Gegenwart : Berichte und Diskussionen Auf der Tagung der Vereinigung der Deutschen Staatsrechtslehrer in Basel Vom 5. Bis 8. Oktober 1977</t>
  </si>
  <si>
    <t xml:space="preserve">Tomuschat, Christian;Schmidt, Reiner ;Blümel, Willi;Grawert, Rolf;Bl Mel, Willi;Bla1/4mel, Willi ;Grawert, Rolf ;Bl Mel, Willi </t>
  </si>
  <si>
    <t>Language/Linguistics; Political Science</t>
  </si>
  <si>
    <t>JS5415.T66 1978eb</t>
  </si>
  <si>
    <t>Local government -- Germany (West) -- Congresses. ; International and municipal law -- Congresses.</t>
  </si>
  <si>
    <t>https://ebookcentral.proquest.com/lib/iuavit/detail.action?docID=3043578</t>
  </si>
  <si>
    <t>Europäische Union. Deutsches und Europäisches Verwaltungsrecht - Wechselseitige Einwirkungen : Gefahr Oder Chance Für Den Föderalismus in Deutschland, Österreich und der Schweiz? Berichte und Diskussionen Auf der Tagung der Vereinigung der Deutschen Staatsrechtslehrer in Mainz Vom 6. Bis 9. Oktober 1993</t>
  </si>
  <si>
    <t xml:space="preserve">Hilf, Meinhard;Stein, Torsten;Schweitzer, Michael;Schindler, Dietrich;Zuleeg, Manfred;Rengeling, Hans-Werner;Stein, Torsten ;Schweitzer, Michael ;Schindler, Dietrich ;Zuleeg, Manfred </t>
  </si>
  <si>
    <t>KJE5076.V47 1994eb</t>
  </si>
  <si>
    <t>341.24/2</t>
  </si>
  <si>
    <t>European Union -- Germany. ; European Union -- Switzerland. ; European Union -- Austria. ; Federal government -- European Union countries. ; Administrative law -- European Union countries. ; Administrative law -- Germany.</t>
  </si>
  <si>
    <t>https://ebookcentral.proquest.com/lib/iuavit/detail.action?docID=3043596</t>
  </si>
  <si>
    <t>Die Verfassungsgerichtsbarkeit Im Gefüge der Staatsfunktionen. Besteuerung und Eigentum : Berichte und Diskussionen Auf der Tagung der Vereinigung der Deutschen Staatsrechtslehrer Zu Innsbruck Vom 1. Bis 4. Oktober 1980</t>
  </si>
  <si>
    <t xml:space="preserve">Korinek, Karl;Müller, Jörg P.;Schlaich, Klaus ;Arnim, Hans Herbert von;Kirchhof, Paul;Müller, Jörg P.;Muller, Jorg P;M Ller, J Rg P ;Muller, Jorg P </t>
  </si>
  <si>
    <t>KK5475.K67 1981eb</t>
  </si>
  <si>
    <t>347.43/012;344.30712</t>
  </si>
  <si>
    <t>Judicial review -- Germany (West) -- Congresses. ; Constitutional law -- Germany (West) -- Congresses. ; Judicial review -- Congresses. ; Constitutional law -- Congresses. ; Property tax -- Germany (West) -- Congresses. ; Property tax -- Congresses.</t>
  </si>
  <si>
    <t>https://ebookcentral.proquest.com/lib/iuavit/detail.action?docID=3043663</t>
  </si>
  <si>
    <t>Bewahrung und Veränderung Demokratischer und Rechtsstaatlicher Verfassungsstruktur in Den Internationalen Gemeinschaften. Verwaltung und Schule : Aussprache Zu Den Berichten in Den Verhandlungen der Tagung der Deutschen Staatsrechtslehrer Zu Kiel Vom 9. Bis 12. Oktober 1964</t>
  </si>
  <si>
    <t xml:space="preserve">Kaiser, Joseph H.;Badura, Peter ;Evers, Hans-Ulrich ;Fuss, Ernst-Werner;Badura, Peter ;Evers, Hans-Ulrich ;Fuss, Ernst-Werner </t>
  </si>
  <si>
    <t>Social Science; Law</t>
  </si>
  <si>
    <t>KK6266.B49 1966eb</t>
  </si>
  <si>
    <t>Educational law and legislation -- Germany (West) ; International agencies -- Germany (West)</t>
  </si>
  <si>
    <t>https://ebookcentral.proquest.com/lib/iuavit/detail.action?docID=3044097</t>
  </si>
  <si>
    <t>Der Schutz des öffentlichen Rechts. Die Neueste Entwicklung des Gemeindeverfassungsrechts : Verhandlungen der Tagung der Deutschen Staatsrechtslehrer Zu Leipzig Am 10. und 11. März 1925. Mit Eröffnungs- und Begrüßungsansprachen Sowie Einer Zusammenfassung der Diskussionsreden</t>
  </si>
  <si>
    <t xml:space="preserve">Jellinek, Walter;Lassar, Gerhard ;Stier-Somlo, Fritz ;Köhler, Ludwig von;Helfritz, Hans;Köhler, Ludwig von;Kahler, Ludwig Von ;Helfritz, Hans ;K Hler, Ludwig Von ;Kohler, Ludwig Von </t>
  </si>
  <si>
    <t>Law; Religion</t>
  </si>
  <si>
    <t>KK5632.S38 1925eb</t>
  </si>
  <si>
    <t>Public works -- Law and legislation -- Germany.</t>
  </si>
  <si>
    <t>https://ebookcentral.proquest.com/lib/iuavit/detail.action?docID=3044111</t>
  </si>
  <si>
    <t>Die Kirchen Unter Dem Grundgesetz. Führung und Organisation der Streitkräfte Im Demokratisch-Parlamentarischen Staat : Aussprache Zu Den Berichten in Den Verhandlungen der Tagung der Deutschen Staatsrechtslehrer Zu Frankfurt Am Main Vom 4. Bis 7. Oktober 1967</t>
  </si>
  <si>
    <t xml:space="preserve">Heckel, Martin;Hollerbach, Alexander ;Unruh, Georg Ch. von;Quaritsch, Helmut;Hollerbach, Alexander ;Unruh, Georg Ch Von ;Quaritsch, Helmut </t>
  </si>
  <si>
    <t>KK5520.H435 1968eb</t>
  </si>
  <si>
    <t>Ecclesiastical law -- Germany (West) ; Church and state -- Germany (West) ; Germany (West) -- Armed Forces.</t>
  </si>
  <si>
    <t>https://ebookcentral.proquest.com/lib/iuavit/detail.action?docID=3044122</t>
  </si>
  <si>
    <t>Öffentlicher Haushalt und Wirtschaft. Die Stellung der Studenten in der Universität : Aussprache Zu Den Berichten in Den Verhandlungen der Tagung der Deutschen Staatsrechtslehrer Zu Bochum Vom 2. Bis 5. Oktober 1968</t>
  </si>
  <si>
    <t xml:space="preserve">Friauf, Karl H.;Wagner, Heinz ;Rupp, Hans H.;Geck, Wilhelm K.;Wagner, Heinz ;Rupp, Hans H ;Geck, Wilhelm K </t>
  </si>
  <si>
    <t>KK7059.V47 1969eb</t>
  </si>
  <si>
    <t>Budget -- Law and legislation -- Germany (West) -- Congresses. ; Universities and colleges -- Germany (West) -- Congresses. ; College students -- Legal status, laws, etc. -- Germany (West) -- Congresses.</t>
  </si>
  <si>
    <t>https://ebookcentral.proquest.com/lib/iuavit/detail.action?docID=3044142</t>
  </si>
  <si>
    <t>Verfassungstreue und Schutz der Verfassung. der öffentliche Dienst Im Staat der Gegenwart : Berichte und Diskussionen Auf der Tagung der Vereinigung der Deutschen Staatsrechtslehrer in Bonn Vom 4. - 7. Oktober 1978</t>
  </si>
  <si>
    <t xml:space="preserve">Denninger, Erhard;Klein, Hans Hugo;Rudolf, Walter;Wagener, Frido;Rudolf, Walter ;Denninger, Erhard ;Klein, Hans H ;Rudolf, Walter ;Wagener, Frido </t>
  </si>
  <si>
    <t>KK5932.V47 1979eb</t>
  </si>
  <si>
    <t>Civil service -- Germany (West) ; Civil service. ; Constitutional law -- Germany (West) ; Constitutional law.</t>
  </si>
  <si>
    <t>https://ebookcentral.proquest.com/lib/iuavit/detail.action?docID=3044152</t>
  </si>
  <si>
    <t>Kulturauftrag Im Staatlichen Gemeinwesen. Die Steuerung des Verwaltungshandelns Durch Haushaltsrecht und Haushaltskontrolle : Berichte und Diskussionen Auf der Tagung der Vereinigung der Deutschen Staatsrechtslehrer in Köln Vom 28. September Bis 1. Oktober 1983</t>
  </si>
  <si>
    <t xml:space="preserve">Steiner, Udo;Grimm, Dieter ;Mutius, Albert von;Schuppert, Gunnar Folke;Grimm, Dieter ;Mutius, Albert Von ;Schuppert, Gunnar F </t>
  </si>
  <si>
    <t>HJ2108.S74 1984eb</t>
  </si>
  <si>
    <t>Budget -- Germany (West) ; Finance, Public -- Law and legislation -- Germany (West) ; Germany (West) -- Cultural policy.</t>
  </si>
  <si>
    <t>https://ebookcentral.proquest.com/lib/iuavit/detail.action?docID=3044166</t>
  </si>
  <si>
    <t>Grundsätze der Finanzverfassung des Vereinten Deutschlands. Verträge und Absprachen Zwischen der Verwaltung und Privaten : Berichte und Diskussionen Auf der Tagung der Vereinigung der Deutschen Staatsrechtslehrer in Bayreuth Vom 7. Bis 10. Oktober 1992</t>
  </si>
  <si>
    <t xml:space="preserve">Selmer, Peter;Kirchhof, Ferdinand ;Burmeister, Joachim ;Krebs, Walter;Kirchhof, Ferdinand ;Burmeister, Joachim ;Krebs, Dr Walter </t>
  </si>
  <si>
    <t>Law; Language/Linguistics</t>
  </si>
  <si>
    <t>KK5572.S45 1993eb</t>
  </si>
  <si>
    <t>Economic history. ; Finance, Public -- Germany. ; Fiscal policy -- Germany.</t>
  </si>
  <si>
    <t>https://ebookcentral.proquest.com/lib/iuavit/detail.action?docID=3044173</t>
  </si>
  <si>
    <t>Grundpflichten Als Verfassungsrechtliche Dimension. Verwaltungsverfahren Zwischen Verwaltungseffizienz und Rechtsschutzauftrag : Berichte und Diskussionen Auf der Tagung der Vereinigung der Deutschen Staatsrechtslehrer in Konstanz Vom 6. Bis 9. Oktober 1982</t>
  </si>
  <si>
    <t xml:space="preserve">Götz, Volkmar;Hofmann, Hasso ;Wahl, Rainer ;Pietzcker, Jost;Götz, Volkmar;Wahl, Rainer ;Pietzcker, Jost ;G Tz, Volkmar </t>
  </si>
  <si>
    <t>KK4450.G68 1983eb</t>
  </si>
  <si>
    <t>Constitutional law -- Germany (West) ; Administrative procedure -- Germany (West)</t>
  </si>
  <si>
    <t>https://ebookcentral.proquest.com/lib/iuavit/detail.action?docID=3044193</t>
  </si>
  <si>
    <t>Erziehungsauftrag und Erziehungsmaßstab der Schule Im Freiheitlichen Verfassungsstaat. Privatisierung Von Verwaltungsaufgaben : Berichte und Diskussionen Auf der Tagung der Vereinigung der Deutschen Staatsrechtslehrer in Halle/Saale Vom 5. Bis 8. Oktober 1994</t>
  </si>
  <si>
    <t xml:space="preserve">Bothe, Michael;Dittmann, Armin;Mantl, Wolfgang;Hangartner, Yvo;Hengstschläger, Johannes;Osterloh, Lerke;Bauer, Hartmut;Jaag, Tobias;Hengstschläger, Johannes;Bauer, Hartmut </t>
  </si>
  <si>
    <t>KK5572.B68 1995eb</t>
  </si>
  <si>
    <t>Education -- Aims and objectives -- Germany. ; Privatization -- Germany.</t>
  </si>
  <si>
    <t>https://ebookcentral.proquest.com/lib/iuavit/detail.action?docID=3044217</t>
  </si>
  <si>
    <t>Das Staatsoberhaupt in der Parlamentarischen Demokratie. Verwaltung Durch Subventionen : Aussprache Zu Den Berichten in Den Verhandlungen der Tagung der Deutschen Staatsrechtslehrer Zu Graz Vom 12. Bis 15. Oktober 1966</t>
  </si>
  <si>
    <t xml:space="preserve">Kimminich, Otto;Pernthaler, Peter ;Ipsen, Hans P.;Zacher, Hans F.;Pernthaler, Peter ;Ipsen, Hans P ;Zacher, Hans F </t>
  </si>
  <si>
    <t>KK5392.V47 1967eb</t>
  </si>
  <si>
    <t>Heads of state -- Germany (West) -- Congresses. ; Representative government and representation -- Germany (West) -- Congresses. ; Administrative law -- Germany (West) -- Congresses. ; Subsidies -- Law and legislation -- Germany (West) -- Congresses.</t>
  </si>
  <si>
    <t>https://ebookcentral.proquest.com/lib/iuavit/detail.action?docID=3044257</t>
  </si>
  <si>
    <t>Unternehmen und Unternehmer in der Verfassungsrechtlichen Ordnung der Wirtschaft. der Schutz der Allgemeinheit und der Individuellen Rechte Durch Die Polizei- und Ordnungsrechtlichen Handlungsvollmachten der Exekutive : Berichte und Diskussionen Auf der Tagung der Vereinigung der Deutschen Staatsrechtslehrer in Heidelberg Vom 6. Bis 9. Oktober 1976</t>
  </si>
  <si>
    <t xml:space="preserve">Saladin, Peter;Papier, Hans-Jürgen;Erichsen, Hans-Uwe;Knemeyer, Franz-Ludwig;Erichsen, Hans-Uwe ;Saladin, Peter ;Papier, Hans-Ja1/4rgen ;Erichsen, Hans-Uwe ;Knemeyer, Franz L </t>
  </si>
  <si>
    <t>Education; Law</t>
  </si>
  <si>
    <t>KK2061.A67.V47 1977</t>
  </si>
  <si>
    <t>Business enterprises -- Law and legislation -- Germany -- Congresses. ; Police regulations -- Germany -- Congresses. ; Constitutional law -- Germany -- Congresses.</t>
  </si>
  <si>
    <t>https://ebookcentral.proquest.com/lib/iuavit/detail.action?docID=3044260</t>
  </si>
  <si>
    <t>Föderalismus Als Nationales und Internationales Ordnungsprinzip. Die öffentliche Sache : Aussprache Zu Den Berichten in Den Verhandlungen der Tagung der Deutschen Staatsrechtslehrer Zu Münster (Westfalen) Vom 3. Bis 6. Oktober 1962</t>
  </si>
  <si>
    <t xml:space="preserve">Bülck, Hartwig;Lerche, Peter ;Weber, Werner ;Stern, Klaus;Bülck, Hartwig;Weber, Werner ;Stern, Klaus ;B Lck, Hartwig ;Bulck, Hartwig </t>
  </si>
  <si>
    <t>JC355.B85 1973eb</t>
  </si>
  <si>
    <t>Federal government.</t>
  </si>
  <si>
    <t>https://ebookcentral.proquest.com/lib/iuavit/detail.action?docID=3044269</t>
  </si>
  <si>
    <t>Der Rechtsstaat und Die Aufarbeitung der Vor-Rechtsstaatlichen Vergangenheit. Eigentumsschutz, Sozialbindung und Enteignung Bei der Nutzung Von Boden und Umwelt : Berichte und Diskussionen Auf der Tagung der Vereinigung der Deutschen Staatsrechtslehrer in Gießen Vom 2. Bis 5. Oktober 1991</t>
  </si>
  <si>
    <t xml:space="preserve">Starck, Christian;Berg, Wilfried;Pieroth, Bodo;Rill, Heinz Peter;Ehlers, Dirk;Hänni, Peter;Hänni, Peter;Ehlers, Dirk ;Hanni, Peter ;H Nni, Peter </t>
  </si>
  <si>
    <t>KK4426.S73 1992eb</t>
  </si>
  <si>
    <t>Rule of law -- Germany. ; Eminent domain -- Germany.</t>
  </si>
  <si>
    <t>https://ebookcentral.proquest.com/lib/iuavit/detail.action?docID=3044280</t>
  </si>
  <si>
    <t>Verfassungsgarantie und Sozialer Wandel. das Beispiel Von Ehe und Familie. Rechtsverhältnisse in der Leistungsverwaltung : Berichte und Diskussionen Auf der Tagung der Vereinigung der Deutschen Staatsrechtslehrer in München Vom 15. Bis 18. Oktober 1986</t>
  </si>
  <si>
    <t xml:space="preserve">Campenhausen, Axel von;Steiger, Heinhard ;Fleiner-Gerster, Thomas ;Öhlinger, Theo;Krause, Peter;Fleiner-Gerster, Thomas ;A-Hlinger, Theo ;Krause, Peter ;Hlinger, Theo </t>
  </si>
  <si>
    <t>Law; Business/Management; Economics</t>
  </si>
  <si>
    <t>KK1110.V47 1986eb</t>
  </si>
  <si>
    <t>Domestic relations -- Germany (West) -- Congresses. ; Constitutional law -- Germany (West) -- Congresses. ; Administrative law -- Austria -- Congresses. ; Administrative law -- Switzerland -- Congresses. ; Administrative law -- Germany (West) -- Congresses.</t>
  </si>
  <si>
    <t>https://ebookcentral.proquest.com/lib/iuavit/detail.action?docID=3044281</t>
  </si>
  <si>
    <t>Wesen und Entwicklung der Staatsgerichtsbarkeit. Überprüfung Von Verwaltungsakten Durch Die Ordentlichen Gerichte : Verhandlungen der Tagung der Deutschen Staatsrechtslehrer Zu Wien Am 23. und 24. April 1928. Mit Einem Auszug Aus der Aussprache</t>
  </si>
  <si>
    <t xml:space="preserve">Triepel, Heinrich;Kelsen, Hans ;Layer, Max ;Hippel, Ernst von;Kelsen, Hans ;Layer, Max ;Hippel, Ernst Von </t>
  </si>
  <si>
    <t>Religion; Law</t>
  </si>
  <si>
    <t>K3412.T34 1929eb</t>
  </si>
  <si>
    <t>Judicial review of administrative acts -- Congresses. ; Jurisdiction -- Congresses.</t>
  </si>
  <si>
    <t>https://ebookcentral.proquest.com/lib/iuavit/detail.action?docID=3044288</t>
  </si>
  <si>
    <t>Deutschland Nach 30 Jahren Grundgesetz. Staatsaufgabe Umweltschutz : Berichte und Diskussionen Auf der Tagung der Vereinigung der Deutschen Staatsrechtslehrer in Berlin Vom 3. - 6. Oktober 1979</t>
  </si>
  <si>
    <t xml:space="preserve">Bernhardt, Rudolf;Achterberg, Norbert;Rauschning, Dietrich;Hoppe, Werner;Rauschning, Dietrich ;Bernhardt, Rudolf ;Achterberg, Norbert ;Rauschning, Dietrich ;Hoppe, Werner </t>
  </si>
  <si>
    <t>KJC6242.A6.V47 1980</t>
  </si>
  <si>
    <t>Constitutional history -- Germany (West) -- Congresses. ; Environmental law -- Germany (West) -- Congresses. ; Environmental law -- Congresses.</t>
  </si>
  <si>
    <t>https://ebookcentral.proquest.com/lib/iuavit/detail.action?docID=3044294</t>
  </si>
  <si>
    <t>Der Gleichheitssatz. Gesetzesgestaltung und Gesetzesanwendung Im Leistungsrecht : Berichte und Diskussionen Auf der Tagung der Vereinigung der Deutschen Staatsrechtslehrer in Tübingen Vom 5. Bis 8. Oktober 1988</t>
  </si>
  <si>
    <t xml:space="preserve">Zippelius, Reinhold;Müller, Georg;Mußgnug, Reinhard;Hufen, Friedhelm;Hill, Hermann;Müller, Georg;Hufen, Friedhelm , ;Hill, Hermann ;M Ller, Georg ;Mu Gnug, Reinhard </t>
  </si>
  <si>
    <t>K247.V47 1989eb</t>
  </si>
  <si>
    <t>Equality before the law -- Congresses. ; Legislation -- Congresses. ; Law -- Interpretation and construction -- Congresses.</t>
  </si>
  <si>
    <t>https://ebookcentral.proquest.com/lib/iuavit/detail.action?docID=3044295</t>
  </si>
  <si>
    <t>Gesetzgebung Im Rechtsstaat. Selbstbindungen der Verwaltung : Berichte und Diskussionen Auf der Tagung der Vereinigung der Deutschen Staatsrechtslehrer in Trier Vom 30. September - 3. Oktober 1981</t>
  </si>
  <si>
    <t xml:space="preserve">Eichenberger, Kurt;Novak, Richard;Kloepfer, Michael;Scheuing, Dieter H.;Hoffmann-Riem, Wolfgang;Raschauer, Bernhard;Novak, Richard ;Kloepfer, Michael ;Scheuing, Dieter H ;Hoffmann-Riem, Wolfgang </t>
  </si>
  <si>
    <t>KK5310.V47 1981eb</t>
  </si>
  <si>
    <t>Legislation -- Germany (West) -- Congresses. ; Administrative law -- Germany (West) -- Congresses. ; Rule of law -- Germany (West) -- Congresses.</t>
  </si>
  <si>
    <t>https://ebookcentral.proquest.com/lib/iuavit/detail.action?docID=3044302</t>
  </si>
  <si>
    <t>Bundesstaatliche und Gliedstaatliche Rechtsordnung. Verwaltungsrecht der öffentlichen Anstalt : Verhandlungen der Tagung der Deutschen Staatsrechtslehrer Zu Frankfurt A. M. Am 25. und 26. April 1929. Mit Einem Auszug Aus der Aussprache</t>
  </si>
  <si>
    <t xml:space="preserve">Fleiner, Fritz;Lukas, Josef ;Richter, Lutz ;Köttgen, Arnold;Köttgen, Arnold;Richter, Lutz ;Kattgen, Arnold ;K Ttgen, Arnold ;Kottgen, Arnold </t>
  </si>
  <si>
    <t>Philosophy; Political Science</t>
  </si>
  <si>
    <t>JN3955.T34 1929eb</t>
  </si>
  <si>
    <t>Federal government -- Congresses. ; State governments -- Germany -- Congresses. ; State governments -- Austria -- Congresses. ; State governments -- Switzerland -- Congresses. ; Corporations, Government -- Germany -- Congresses. ; Government ownership -- Germany -- Congresses.</t>
  </si>
  <si>
    <t>https://ebookcentral.proquest.com/lib/iuavit/detail.action?docID=3044317</t>
  </si>
  <si>
    <t>Die Deutsche Staatsrechtslehre in der Zeit des Nationalsozialismus. Europäisches und Nationales Verfassungsrecht. der Staat Als Wirtschaftssubjekt und Auftraggeber : Berichte und Diskussionen Auf der Tagung der Vereinigung der Deutschen Staatsrechtslehrer in Leipzig Vom 4. Bis 6. Oktober 2000</t>
  </si>
  <si>
    <t>Dreier, Horst;Pauly, Walter ;Pernice, Ingolf ;Huber, Peter M.;Lübbe-Wolff, Gertrude;Grabenwarter, Christoph;Löwer, Wolfgang;Puhl, Thomas;Holoubek, Michael;Lübbe-Wolff, Gertrude</t>
  </si>
  <si>
    <t>KK5572.D74 2001eb</t>
  </si>
  <si>
    <t>Constitutional law -- Germany. ; Public law -- Germany. ; Constitutional law -- Europe. ; Public law -- Europe. ; State, The.</t>
  </si>
  <si>
    <t>https://ebookcentral.proquest.com/lib/iuavit/detail.action?docID=3044319</t>
  </si>
  <si>
    <t>Das Parlamentarische Regierungssystem und der Bundesrat - Entwicklungsstand und Reformbedarf. Rechtliche Optimierungsgebote Oder Rahmensetzungen Für das Verwaltungshandeln? : Berichte und Diskussionen Auf der Tagung der Vereinigung der Deutschen Staatsrechtslehrer in Potsdam Vom 7. Bis 10. Oktober 1998</t>
  </si>
  <si>
    <t>Dolzer, Rudolf;Sachs, Michael;Würtenberger, Thomas;Haller, Herbert ;Riedel, Eibe;Würtenberger, Thomas</t>
  </si>
  <si>
    <t>KK5387.D65 1999eb</t>
  </si>
  <si>
    <t>Administrative law -- Germany. ; Representative government and representation -- Germany.</t>
  </si>
  <si>
    <t>https://ebookcentral.proquest.com/lib/iuavit/detail.action?docID=3044327</t>
  </si>
  <si>
    <t>Grundrechte Im Leistungsstaat. Die Dogmatik des Verwaltungsrechts Vor Den Gegenwartsaufgaben der Verwaltung : Berichte und Diskussionen Auf der Tagung der Vereinigung der Deutschen Staatsrechtslehrer in Regensburg Vom 29. September Bis 2. Oktober 1971</t>
  </si>
  <si>
    <t xml:space="preserve">Martens, Wolfgang;Häberle, Peter;Bachof, Otto ;Brohm, Winfried;Häberle, Peter;Bachof, Otto ;Brohm, Winfried ;H Berle, Peter </t>
  </si>
  <si>
    <t>Law; Business/Management</t>
  </si>
  <si>
    <t>KK5132.A67.V47 1971</t>
  </si>
  <si>
    <t>Civil rights -- Germany (West) -- Congresses. ; Social legislation -- Germany (West) -- Congresses. ; Administrative law -- Germany (West) -- Congresses.</t>
  </si>
  <si>
    <t>https://ebookcentral.proquest.com/lib/iuavit/detail.action?docID=3044336</t>
  </si>
  <si>
    <t>Entwicklung und Reform des Beamtenrechts. Die Reform des Wahlrechts : Verhandlungen der Tagung der Deutschen Staatsrechtslehrer Zu Halle Am 28. und 29. Oktober 1931. Mit Einem Auszug Aus der Aussprache</t>
  </si>
  <si>
    <t xml:space="preserve">Gerber, Hans;Merkl, Adolf ;Pohl, Heinrich ;Leibholz, Gerhard;Merkl, Adolf ;Pohl, Heinrich ;Leibholz, Gerhard </t>
  </si>
  <si>
    <t>Religion; Political Science</t>
  </si>
  <si>
    <t>JN3961.5.T34 1932eb</t>
  </si>
  <si>
    <t>Civil service -- Germany -- Congresses. ; Election law -- Germany -- Congresses. ; Germany -- Officials and employees -- Congresses.</t>
  </si>
  <si>
    <t>https://ebookcentral.proquest.com/lib/iuavit/detail.action?docID=3044347</t>
  </si>
  <si>
    <t>Das Grundrecht der Gewissensfreiheit. Die Rechtsformen der Sozialen Sicherung und das Allgemeine Verwaltungsrecht : Berichte und Diskussionen Auf der Tagung der Vereinigung der Deutschen Staatsrechtslehrer in Bern Am 2. und 3. Oktober 1969</t>
  </si>
  <si>
    <t xml:space="preserve">Bäumlin, Richard;Böckenförde, Ernst-Wolfgang;Henke, Wilhelm ;Rüfner, Wolfgang;Bäumlin, Richard;Böckenförde, Ernst-Wolfgang;Rüfner, Wolfgang;B Umlin, Richard ;B Ckenf Rde, Ernst-Wolfgang ;R Fner, Wolfgang </t>
  </si>
  <si>
    <t>K3258.A6.V47 1970eb</t>
  </si>
  <si>
    <t>Liberty of conscience -- Congresses. ; Social security -- Congresses.</t>
  </si>
  <si>
    <t>https://ebookcentral.proquest.com/lib/iuavit/detail.action?docID=3044367</t>
  </si>
  <si>
    <t>Parlament und Regierung Im Modernen Staat. Die Organisationsgewalt : Berichte und Aussprache Zu Den Berichten in Den Verhandlungen der Tagung der Deutschen Staatsrechtslehrer Zu Berlin Am 10. und 11. Oktober 1957</t>
  </si>
  <si>
    <t xml:space="preserve">Friesenhahn, Ernst;Partsch, Karl J.;Köttgen, Arnold;Ermacora, Felix;Köttgen, Arnold;Kattgen, Arnold ;Ermacora, Felix ;K Ttgen, Arnold ;Kottgen, Arnold </t>
  </si>
  <si>
    <t>JF511.F75 1958eb</t>
  </si>
  <si>
    <t>Legislative bodies. ; Legislative bodies -- Germany.</t>
  </si>
  <si>
    <t>https://ebookcentral.proquest.com/lib/iuavit/detail.action?docID=3044379</t>
  </si>
  <si>
    <t>Das Demokratische Prinzip Im Grundgesetz. Die Erfüllung Von Verwaltungsaufgaben Durch Private : Berichte und Diskussionen Auf der Tagung der Vereinigung der Deutschen Staatsrechtslehrer in Speyer Am 8. und 9. Oktober 1970</t>
  </si>
  <si>
    <t xml:space="preserve">Simson, Werner von;Kriele, Martin;Ossenbühl, Fritz;Gallwas, Hans-Ullrich;Ossenbühl, Fritz;Simson, Werner Von ;Kriele, Martin ;Ossenba1/4hl, Fritz ;Gallwas, Hans-Ullrich </t>
  </si>
  <si>
    <t>KK4450.V36 1971eb</t>
  </si>
  <si>
    <t>Representative government and representation -- Germany (West) -- Congresses. ; Freedom of speech -- Germany (West) -- Congresses. ; Administrative law -- Germany (West) -- Congresses.</t>
  </si>
  <si>
    <t>https://ebookcentral.proquest.com/lib/iuavit/detail.action?docID=3044384</t>
  </si>
  <si>
    <t>Staat und Verbände. Gesetzgeber und Verwaltung : Aussprache Zu Den Berichten in Den Verhandlungen der Tagung der Deutschen Staatsrechtslehrer Zu Würzburg Vom 6. Bis 9. Oktober 1965</t>
  </si>
  <si>
    <t xml:space="preserve">Leibholz, Gerhard;Winkler, Günther;Vogel, Klaus ;Herzog, Roman;Winkler, Günther;Vogel, Klaus ;Herzog, Roman ;Winkler, G Nther </t>
  </si>
  <si>
    <t>KK4504.V47 1966eb</t>
  </si>
  <si>
    <t>Lobbying -- Law and legislation -- Germany (West) -- Congresses. ; Constitutional law -- Germany (West) -- Congresses. ; Public administration -- Germany (West) -- Congresses. ; Legislation -- Germany (West) -- Congresses.</t>
  </si>
  <si>
    <t>https://ebookcentral.proquest.com/lib/iuavit/detail.action?docID=3044409</t>
  </si>
  <si>
    <t>Pressefreiheit. Staatsaufsicht in Verwaltung und Wirtschaft : Aussprache Zu Den Berichten in Den Verhandlungen der Tagung der Deutschen Staatsrechtslehrer Zu Saarbrücken Vom 9. Bis 12. Oktober 1963</t>
  </si>
  <si>
    <t xml:space="preserve">Scheuner, Ulrich;Schnur, Roman ;Salzwedel, Jürgen;Bullinger, Martin;Salzwedel, Jürgen;Salzwedel, Jurgen;Bullinger, Martin ;Salzwedel, J Rgen ;Salzwedel, Jurgen </t>
  </si>
  <si>
    <t>KK6947.V47 1965eb</t>
  </si>
  <si>
    <t>Freedom of the press -- Germany (West) -- Congresses. ; Administrative law -- Germany (West) -- Congresses. ; Industrial laws and legislation -- Germany (West) -- Congresses.</t>
  </si>
  <si>
    <t>https://ebookcentral.proquest.com/lib/iuavit/detail.action?docID=3044427</t>
  </si>
  <si>
    <t>Kontrolle der Auswärtigen Gewalt. Verwaltung und Verwaltungsrecht Zwischen Gesellschaftlicher Selbstregulierung und Staatlicher Steuerung : Berichte und Diskussionen Auf der Tagung der Vereinigung der Deutschen Staatsrechtslehrer in Dresden Vom 2. Bis 5. Oktober 1996</t>
  </si>
  <si>
    <t xml:space="preserve">Hailbronner, Kay;Wolfrum, Rüdiger;Wildhaber, Luzius;Öhlinger, Theo;Schmidt-Preuß, Matthias;DiFabio, Udo;Wolfrum, Rüdiger;Öhlinger, Theo;Schmidt-Preuß, Matthias;Hlinger Theo, </t>
  </si>
  <si>
    <t>KK5105.V47 1997eb</t>
  </si>
  <si>
    <t>342.43/0412</t>
  </si>
  <si>
    <t>Police power -- Germany -- Congresses. ; Administrative law -- Germany -- Congresses. ; Germany -- Foreign relations -- Law and legislation -- Congresses.</t>
  </si>
  <si>
    <t>https://ebookcentral.proquest.com/lib/iuavit/detail.action?docID=3044432</t>
  </si>
  <si>
    <t>Akten Zur Auswärtigen Politik der Bundesrepublik Deutschland 1952</t>
  </si>
  <si>
    <t>Koopmann, Martin;Wintzer, Joachim</t>
  </si>
  <si>
    <t>DD259.5 -- .A384 2000eb</t>
  </si>
  <si>
    <t>Germany (West) -- Foreign relations -- Sources. ; Germany -- Foreign relations -- 1945- -- Sources.</t>
  </si>
  <si>
    <t>https://ebookcentral.proquest.com/lib/iuavit/detail.action?docID=3045864</t>
  </si>
  <si>
    <t>Akten Zur Auswärtigen Politik der Bundesrepublik Deutschland 1951</t>
  </si>
  <si>
    <t>Jaroch, Matthias</t>
  </si>
  <si>
    <t>DD259.5 -- .A384 1999eb</t>
  </si>
  <si>
    <t>https://ebookcentral.proquest.com/lib/iuavit/detail.action?docID=3045867</t>
  </si>
  <si>
    <t>Akten Zur Auswärtigen Politik der Bundesrepublik Deutschland 1970</t>
  </si>
  <si>
    <t>Pautsch, Ilse Dorothee;Taschler, Daniela;Eibl, Franz;Heinlein, Frank;Lindemann, Mechthild;Peter, Matthias</t>
  </si>
  <si>
    <t>DD259.5 -- .A384 2001eb</t>
  </si>
  <si>
    <t>Germany (West) -- Foreign relations -- Sources.</t>
  </si>
  <si>
    <t>https://ebookcentral.proquest.com/lib/iuavit/detail.action?docID=3045869</t>
  </si>
  <si>
    <t>Akten Zur Auswärtigen Politik der Bundesrepublik Deutschland 1967</t>
  </si>
  <si>
    <t>Pautsch, Ilse Dorothee;Klöckler, Jürgen;Rosenbach, Harald;Klöckler, Jürgen</t>
  </si>
  <si>
    <t>DD259.5 -- .A384 1998eb</t>
  </si>
  <si>
    <t>German reunification question (1949-1990) -- History -- Sources. ; German reunification question (1949-1990) -- Sources. ; Germany (West) -- Foreign relations -- Sources. ; Germany -- Foreign relations -- 1945- -- Sources.</t>
  </si>
  <si>
    <t>https://ebookcentral.proquest.com/lib/iuavit/detail.action?docID=3045875</t>
  </si>
  <si>
    <t>Akten Zur Auswärtigen Politik der Bundesrepublik Deutschland 1949-1950</t>
  </si>
  <si>
    <t>Kosthorst, Daniel;Feldkamp, Michael F.</t>
  </si>
  <si>
    <t>DD259.5 -- .A384 1997eb</t>
  </si>
  <si>
    <t>https://ebookcentral.proquest.com/lib/iuavit/detail.action?docID=3045878</t>
  </si>
  <si>
    <t>Akten Zur Auswärtigen Politik der Bundesrepublik Deutschland 1969</t>
  </si>
  <si>
    <t>Eibl, Franz;Zimmermann, Hubert</t>
  </si>
  <si>
    <t>Germany (West). -- Auswärtiges Amt -- Archives. ; German reunification question (1949-1990) -- History -- Sources. ; Germany (West) -- Foreign relations -- 1945- -- Sources. ; Germany -- Foreign relations -- 1945- -- Sources.</t>
  </si>
  <si>
    <t>https://ebookcentral.proquest.com/lib/iuavit/detail.action?docID=3045883</t>
  </si>
  <si>
    <t>Akten Zur Auswärtigen Politik der Bundesrepublik Deutschland 1968</t>
  </si>
  <si>
    <t>Lindemann, Mechthild;Peter, Matthias</t>
  </si>
  <si>
    <t>DD257.4 -- .A384 1999eb</t>
  </si>
  <si>
    <t>German reunification question (1949-1990) -- History -- Sources. ; Germany -- Foreign relations -- 1945- -- Sources.</t>
  </si>
  <si>
    <t>https://ebookcentral.proquest.com/lib/iuavit/detail.action?docID=3045886</t>
  </si>
  <si>
    <t>Akten Zur Auswärtigen Politik der Bundesrepublik Deutschland 1966</t>
  </si>
  <si>
    <t>Peter, Matthias;Rosenbach, Harald</t>
  </si>
  <si>
    <t>German reunification question (1949-1990) -- History -- Sources. ; Germany (West) -- Foreign relations -- Sources. ; Germany -- Foreign relations -- 1945- -- Sources.</t>
  </si>
  <si>
    <t>https://ebookcentral.proquest.com/lib/iuavit/detail.action?docID=3045889</t>
  </si>
  <si>
    <t>Akten Zur Auswärtigen Politik der Bundesrepublik Deutschland 1965</t>
  </si>
  <si>
    <t>Lindemann, Mechthild;Pautsch, Ilse Dorothee</t>
  </si>
  <si>
    <t>DD257.4 -- .A384 1996eb</t>
  </si>
  <si>
    <t>Germany -- Foreign relations -- 1945- -- Sources. ; Germany (West) -- Foreign relations -- Sources.</t>
  </si>
  <si>
    <t>https://ebookcentral.proquest.com/lib/iuavit/detail.action?docID=3045894</t>
  </si>
  <si>
    <t>Akten Zur Auswärtigen Politik der Bundesrepublik Deutschland 1963</t>
  </si>
  <si>
    <t>DD259.5 -- .A384 1994eb</t>
  </si>
  <si>
    <t>German reunification question (1949-1990) -- Sources. ; Germany (West) -- Foreign relations -- Sources. ; Germany -- Foreign relations -- 1945- -- Sources.</t>
  </si>
  <si>
    <t>https://ebookcentral.proquest.com/lib/iuavit/detail.action?docID=3045898</t>
  </si>
  <si>
    <t>Akten Zur Auswärtigen Politik der Bundesrepublik Deutschland 1953</t>
  </si>
  <si>
    <t>Jaroch, Matthias;Lindemann, Mechthild</t>
  </si>
  <si>
    <t>https://ebookcentral.proquest.com/lib/iuavit/detail.action?docID=3045903</t>
  </si>
  <si>
    <t>Kriegsgefangenschaft in Großbritannien : Deutsche Soldaten des Zweiten Weltkriegs in Britischem Gewahrsam</t>
  </si>
  <si>
    <t>Held, Renate;German Historical Institute London, German Historical</t>
  </si>
  <si>
    <t>DA589.7 -- .G47 2002eb</t>
  </si>
  <si>
    <t>French language--Study and teaching.</t>
  </si>
  <si>
    <t>https://ebookcentral.proquest.com/lib/iuavit/detail.action?docID=3045986</t>
  </si>
  <si>
    <t>Deutsche Kaufleute in London : Welthandel und Einbürgerung (1660-1818)</t>
  </si>
  <si>
    <t>Schulte Beerbühl, Margrit;German Historical Institute London, German Historical</t>
  </si>
  <si>
    <t>HF3568.G7 -- B44 2007eb</t>
  </si>
  <si>
    <t>Merchants -- England -- London -- History. ; Germans -- England -- London -- History. ; Naturalization -- Great Britain -- History.</t>
  </si>
  <si>
    <t>https://ebookcentral.proquest.com/lib/iuavit/detail.action?docID=3046018</t>
  </si>
  <si>
    <t>Faire des Sujets du Roi : Rechtspolitik in Metz, Toul und Verdun Unter Französischer Herrschaft (1552-1648)</t>
  </si>
  <si>
    <t>Petry, Christine</t>
  </si>
  <si>
    <t>DC801.M65 -- .P487 2006eb</t>
  </si>
  <si>
    <t>Metz (France) -- History. ; Toul (France) -- History. ; Verdun (France) -- History. ; Metz (France) -- Politics and government. ; Toul (France) -- Politics and government. ; Verdun (France) -- Politics and government.</t>
  </si>
  <si>
    <t>https://ebookcentral.proquest.com/lib/iuavit/detail.action?docID=3048823</t>
  </si>
  <si>
    <t>Vergeben und Vergessen? Pardonner et Oublier? : Vergangenheitsdiskurse Nach Besatzung, Bürgerkrieg und Revolution. les Discours Sur le Passé Après l'occupation, la Guerre Civile et la Révolution</t>
  </si>
  <si>
    <t>Marcowitz, Reiner;Paravicini, Werner</t>
  </si>
  <si>
    <t>DC38 -- .V474 2009eb</t>
  </si>
  <si>
    <t>Forgiveness -- Political aspects -- France -- Congresses. ; Reconciliation -- Congresses. ; France -- History -- Congresses.</t>
  </si>
  <si>
    <t>https://ebookcentral.proquest.com/lib/iuavit/detail.action?docID=3048837</t>
  </si>
  <si>
    <t>Französische Herrschaftspolitik und Modernisierung : Verwaltungs- und Verfassungsreformen Im Großherzogtum Berg (1806-1813)</t>
  </si>
  <si>
    <t>Severin-Barboutie, Bettina</t>
  </si>
  <si>
    <t>DD801.B47 -- .S48 2008eb</t>
  </si>
  <si>
    <t>Joachim Murat, -- King of Naples, -- 1767-1815. ; Napoleonic Wars, 1800-1815 -- Influence. ; Berg (Grand Duchy) -- History. ; Berg (Grand Duchy) -- Politics and government. ; Germany -- Politics and government -- 1806-1815. ; France -- Foreign relations -- 1789-1815. ; France -- Foreign relations -- Germany.</t>
  </si>
  <si>
    <t>https://ebookcentral.proquest.com/lib/iuavit/detail.action?docID=3048851</t>
  </si>
  <si>
    <t>Der Mögliche Frieden : Die Modernisierung der Außenpolitik und Die Deutsch-Französischen Beziehungen 1923-1929</t>
  </si>
  <si>
    <t>Blessing, Ralph</t>
  </si>
  <si>
    <t>DC59.8.G3 -- .B54 2008eb</t>
  </si>
  <si>
    <t>Security, International. ; France -- Foreign relations -- 1914-1940. ; Germany -- Foreign relations -- 1918-1933. ; France -- Foreign relation -- Germany. ; Germany -- Foreign relations -- France.</t>
  </si>
  <si>
    <t>https://ebookcentral.proquest.com/lib/iuavit/detail.action?docID=3048865</t>
  </si>
  <si>
    <t>Schön Wie Venus, Mutig Wie Mars : Anna d'Este, Herzogin Von Guise und Von Nemours (1531-1607)</t>
  </si>
  <si>
    <t>Coester, Christiane</t>
  </si>
  <si>
    <t>DC112.A57 -- .C647 2007eb</t>
  </si>
  <si>
    <t>Anna, -- d''Este, consort of François de Lorraine, duc de Guise, -- 1531-1607. ; Guise, François de Lorraine, -- duc de, -- 1519-1563. ; Este family. ; Nobility -- France -- Biography. ; France -- History -- 16th century.</t>
  </si>
  <si>
    <t>https://ebookcentral.proquest.com/lib/iuavit/detail.action?docID=3048892</t>
  </si>
  <si>
    <t>Die Rückkehr der Deutschen Geschichtswissenschaft in Die Ökumene der Historiker : Ein Wissenschaftsgeschichtlicher Ansatz</t>
  </si>
  <si>
    <t>Pfeil, Ulrich</t>
  </si>
  <si>
    <t>DD86 -- .R83 2008eb</t>
  </si>
  <si>
    <t>Germany -- Historiography -- Congresses.</t>
  </si>
  <si>
    <t>https://ebookcentral.proquest.com/lib/iuavit/detail.action?docID=3048902</t>
  </si>
  <si>
    <t>Der Weg in Die Terreur : Radikalisierung und Konflikte Im Straßburger Jakobinerclub (1790-1795)</t>
  </si>
  <si>
    <t>Schönpflug, Daniel;Schönpflug, Daniel</t>
  </si>
  <si>
    <t>DC178 -- .S28 2002eb</t>
  </si>
  <si>
    <t>Société des amis de la constitution (Strasbourg, France) ; Jacobins -- France -- Strasbourg -- History -- 18th century. ; France -- History -- Revolution, 1789-1799. ; Strasbourg (France) -- History -- 18th century. ; Strasbourg (France) -- Politics and government -- 18th century.</t>
  </si>
  <si>
    <t>https://ebookcentral.proquest.com/lib/iuavit/detail.action?docID=3049193</t>
  </si>
  <si>
    <t>Kultfigur und Nation : Öffentliche Denkmäler in Paris, Berlin und London 1848-1914</t>
  </si>
  <si>
    <t>Rausch, Helke</t>
  </si>
  <si>
    <t>NA9345 -- .R387 2006eb</t>
  </si>
  <si>
    <t>Monuments -- Political aspects -- France -- Paris. ; Monuments -- Political aspects -- Germany -- Berlin. ; Monuments -- Political aspects -- England -- London. ; Nationalism and art -- France -- History -- 19th century. ; Nationalism and art -- France -- History -- 20th century. ; Nationalism and art -- Germany -- History -- 19th century. ; Nationalism and art -- Germany -- History -- 20th century.</t>
  </si>
  <si>
    <t>https://ebookcentral.proquest.com/lib/iuavit/detail.action?docID=3049195</t>
  </si>
  <si>
    <t>Deutsche Kulturpolitik Im Besetzten Paris 1940-1944: Film und Theater : Film und Theater</t>
  </si>
  <si>
    <t>Engel, Kathrin</t>
  </si>
  <si>
    <t>PN1993.5.F7 -- .E64 2003eb</t>
  </si>
  <si>
    <t>Motion pictures -- France -- Paris -- History. ; Theater -- France -- Paris -- History -- 20th century. ; Motion pictures, German -- France. ; Politics and culture -- France -- Paris -- History -- 20th century. ; France -- History -- German occupation, 1940-1945. ; Paris (France) -- History -- 1940-1944.</t>
  </si>
  <si>
    <t>https://ebookcentral.proquest.com/lib/iuavit/detail.action?docID=3049223</t>
  </si>
  <si>
    <t>Figurationen des Staates in Deutschland und Frankreich 1870-1945. les Figures de l'État en Allemagne et en France</t>
  </si>
  <si>
    <t>Chatriot, Alain;Gosewinkel, Dieter</t>
  </si>
  <si>
    <t>JC229 -- .F54 2006eb</t>
  </si>
  <si>
    <t>State, The -- History -- 20th century. ; State, The -- History -- 19th century. ; France -- Politics and government -- 1870-1940. ; France -- Politics and government -- 1940-1945. ; Germany -- Politics and government -- 1871-1933. ; Germany -- Politics and government -- 1933-1945.</t>
  </si>
  <si>
    <t>https://ebookcentral.proquest.com/lib/iuavit/detail.action?docID=3049226</t>
  </si>
  <si>
    <t>André François-Poncet Als Botschafter in Berlin (1931-1938)</t>
  </si>
  <si>
    <t>Schäfer, Claus W.;Schäfer, Claus W.</t>
  </si>
  <si>
    <t>DD240 -- .S275 2004eb</t>
  </si>
  <si>
    <t>327.2/029</t>
  </si>
  <si>
    <t>François-Poncet, André, -- 1887-1978. ; France -- Foreign relations -- Germany. ; Germany -- Foreign relations -- France. ; Germany -- Foreign relations -- 1918-1933. ; Germany -- Foreign relations -- 1933-1945. ; Germany -- History -- 1918-1933. ; Germany -- History -- 1933-1945.</t>
  </si>
  <si>
    <t>https://ebookcentral.proquest.com/lib/iuavit/detail.action?docID=3049258</t>
  </si>
  <si>
    <t>Étrennes : Untersuchungen Zum Höfischen Geschenkverkehr Im Spätmittelalterlichen Frankreich Zur Zeit König Karls VI. (1380-1422)</t>
  </si>
  <si>
    <t>Hirschbiegel, Jan</t>
  </si>
  <si>
    <t>GT3041.F8 -- .H57 2003eb</t>
  </si>
  <si>
    <t>Charles -- VI, -- King of France, -- 1368-1422. ; Gifts -- France -- History. ; Gifts -- Social aspects -- France.</t>
  </si>
  <si>
    <t>https://ebookcentral.proquest.com/lib/iuavit/detail.action?docID=3049276</t>
  </si>
  <si>
    <t>Cultures in Collision and Conversation : Essays in the Intellectual History of the Jews</t>
  </si>
  <si>
    <t>Academic Studies Press</t>
  </si>
  <si>
    <t>Berger, David</t>
  </si>
  <si>
    <t>BM534 -- .B47 2011eb</t>
  </si>
  <si>
    <t>296.3/9</t>
  </si>
  <si>
    <t>Judaism -- Relations. ; Intercultural communication -- Religious aspects -- Judaism. ; Judaism -- History. ; Jews -- History. ; Jews -- Intellectual life. ; Messianic era (Judaism)</t>
  </si>
  <si>
    <t>https://ebookcentral.proquest.com/lib/iuavit/detail.action?docID=3110448</t>
  </si>
  <si>
    <t>Sex Rewarded, Sex Punished : A Study of the Status 'Female Slave' in Early Jewish Law</t>
  </si>
  <si>
    <t>Kriger, Diane</t>
  </si>
  <si>
    <t>KBM526 -- .K75 2011eb</t>
  </si>
  <si>
    <t>296.086/25</t>
  </si>
  <si>
    <t>Women (Jewish law) ; Women slaves (Jewish law) ; Women in the Bible.</t>
  </si>
  <si>
    <t>https://ebookcentral.proquest.com/lib/iuavit/detail.action?docID=3110477</t>
  </si>
  <si>
    <t>Detection of Pathogens in Water Using Micro and Nano-Technology</t>
  </si>
  <si>
    <t>IWA Publishing</t>
  </si>
  <si>
    <t>Zuccheri, Giampaolo;Asproulis, Nikolaos</t>
  </si>
  <si>
    <t>Engineering; Engineering: Environmental; Science; Science: Biology/Natural History</t>
  </si>
  <si>
    <t>QR105.D48 2012eb</t>
  </si>
  <si>
    <t>Water -- Microbiology. ; Pathogenic microorganisms -- Detection. ; Nanotechnology. ; Microtechnology.</t>
  </si>
  <si>
    <t>https://ebookcentral.proquest.com/lib/iuavit/detail.action?docID=3119958</t>
  </si>
  <si>
    <t>Environmental Technologies to Treat Sulfur Pollution</t>
  </si>
  <si>
    <t>Lens, Piet;Hulshoff Pol, L. W.</t>
  </si>
  <si>
    <t>Engineering; Environmental Studies; Engineering: Environmental</t>
  </si>
  <si>
    <t>TD174.E58 2000eb</t>
  </si>
  <si>
    <t>363.7/3</t>
  </si>
  <si>
    <t>Pollution. ; Sulfur -- Environmental aspects.</t>
  </si>
  <si>
    <t>https://ebookcentral.proquest.com/lib/iuavit/detail.action?docID=3120913</t>
  </si>
  <si>
    <t>Computational Hydraulics</t>
  </si>
  <si>
    <t>Popescu, Ioana</t>
  </si>
  <si>
    <t>Engineering: Civil; Engineering; Engineering: General</t>
  </si>
  <si>
    <t>TC163 -- .P674 2014eb</t>
  </si>
  <si>
    <t>Hydraulics -- Mathematics. ; Hydraulics -- Data processing.</t>
  </si>
  <si>
    <t>https://ebookcentral.proquest.com/lib/iuavit/detail.action?docID=3121230</t>
  </si>
  <si>
    <t>Benchmarking of Control Strategies for Wastewater Treatment Plants</t>
  </si>
  <si>
    <t>Gernaey, Krist V.;Jeppsson, Ulf;Vanrolleghem, Peter A.;Copp, John B.</t>
  </si>
  <si>
    <t>Engineering; Engineering: Environmental</t>
  </si>
  <si>
    <t>TD434 -- .B463 2014eb</t>
  </si>
  <si>
    <t>Water treatment plants.</t>
  </si>
  <si>
    <t>https://ebookcentral.proquest.com/lib/iuavit/detail.action?docID=3121255</t>
  </si>
  <si>
    <t>Stalinism Revisited : The Establishment of Communist Regimes in East-Central Europe</t>
  </si>
  <si>
    <t>Central European University Press</t>
  </si>
  <si>
    <t>Tismaneanu, Vladimir</t>
  </si>
  <si>
    <t>DJK50 -- .S72 2009eb</t>
  </si>
  <si>
    <t>947.0009/045</t>
  </si>
  <si>
    <t>Stalin, Joseph, -- 1879-1953. ; Communism -- Europe, Eastern -- History -- 20th century. ; Europe, Eastern -- Politics and government -- 1945-1989. ; Europe, Eastern -- Foreign relations -- Soviet Union. ; Soviet Union -- Foreign relations -- Europe, Eastern. ; Europe, Eastern -- History -- 20th century.</t>
  </si>
  <si>
    <t>https://ebookcentral.proquest.com/lib/iuavit/detail.action?docID=3137295</t>
  </si>
  <si>
    <t>The Living Stream : Yeats Annual No. 18</t>
  </si>
  <si>
    <t>Open Book Publishers</t>
  </si>
  <si>
    <t>Gould, Warwick</t>
  </si>
  <si>
    <t>https://ebookcentral.proquest.com/lib/iuavit/detail.action?docID=3384091</t>
  </si>
  <si>
    <t>Foundations for Moral Relativism</t>
  </si>
  <si>
    <t>Velleman, J. David</t>
  </si>
  <si>
    <t>BJ37.V45 2013</t>
  </si>
  <si>
    <t>Ethical relativism.</t>
  </si>
  <si>
    <t>https://ebookcentral.proquest.com/lib/iuavit/detail.action?docID=3384092</t>
  </si>
  <si>
    <t>A People Passing Rude : British Responses to Russian Culture</t>
  </si>
  <si>
    <t>Cross, Anthony</t>
  </si>
  <si>
    <t>https://ebookcentral.proquest.com/lib/iuavit/detail.action?docID=3384093</t>
  </si>
  <si>
    <t>Text and Genre in Reconstruction : Effects of Digitalization on Ideas, Behaviours, Products and Institutions</t>
  </si>
  <si>
    <t>McCarty, Willard</t>
  </si>
  <si>
    <t>HM851.M3 2010</t>
  </si>
  <si>
    <t>https://ebookcentral.proquest.com/lib/iuavit/detail.action?docID=3384094</t>
  </si>
  <si>
    <t>The End and the Beginning : The Book of My Life</t>
  </si>
  <si>
    <t>Gossman, Lionel;Zur Mühlen, Hermynia</t>
  </si>
  <si>
    <t>https://ebookcentral.proquest.com/lib/iuavit/detail.action?docID=3384095</t>
  </si>
  <si>
    <t>Les Bienveillantes de Jonathan Littell : Études Réunies Par Murielle Lucie Clément</t>
  </si>
  <si>
    <t>Clément, Murielle Lucie</t>
  </si>
  <si>
    <t>https://ebookcentral.proquest.com/lib/iuavit/detail.action?docID=3384096</t>
  </si>
  <si>
    <t>Digital Humanities Pedagogy : Practices, Principles and Politics</t>
  </si>
  <si>
    <t>Hirsch, Brett D.</t>
  </si>
  <si>
    <t>General Works/Reference</t>
  </si>
  <si>
    <t>https://ebookcentral.proquest.com/lib/iuavit/detail.action?docID=3384097</t>
  </si>
  <si>
    <t>Why Do We Quote? : The Culture and History of Quotation</t>
  </si>
  <si>
    <t>Finnegan, Ruth</t>
  </si>
  <si>
    <t>https://ebookcentral.proquest.com/lib/iuavit/detail.action?docID=3384098</t>
  </si>
  <si>
    <t>The Theatre of Shelley</t>
  </si>
  <si>
    <t>Mulhallen, Jacqueline</t>
  </si>
  <si>
    <t>PR5438.M85 2010</t>
  </si>
  <si>
    <t>https://ebookcentral.proquest.com/lib/iuavit/detail.action?docID=3384099</t>
  </si>
  <si>
    <t>Frontier Encounters : Knowledge and Practice at the Russian, Chinese and Mongolian Border</t>
  </si>
  <si>
    <t>Billé, Franck;Delaplace, Grégory;Humphrey, Caroline</t>
  </si>
  <si>
    <t>History; Political Science; Social Science</t>
  </si>
  <si>
    <t>https://ebookcentral.proquest.com/lib/iuavit/detail.action?docID=3384100</t>
  </si>
  <si>
    <t>The Digital Public Domain : Foundations for an Open Culture</t>
  </si>
  <si>
    <t>Dulong de Rosnay, Melanie;De Martin, Juan Carlos;Nesson, Charles R.</t>
  </si>
  <si>
    <t>Computer Science/IT; Law</t>
  </si>
  <si>
    <t>https://ebookcentral.proquest.com/lib/iuavit/detail.action?docID=3384101</t>
  </si>
  <si>
    <t>Bourdieu and Literature</t>
  </si>
  <si>
    <t>Speller, John R. W.</t>
  </si>
  <si>
    <t>https://ebookcentral.proquest.com/lib/iuavit/detail.action?docID=3384102</t>
  </si>
  <si>
    <t>Peace and Democratic Society</t>
  </si>
  <si>
    <t>Sen, Amartya</t>
  </si>
  <si>
    <t>https://ebookcentral.proquest.com/lib/iuavit/detail.action?docID=3384103</t>
  </si>
  <si>
    <t>Letters of Blood and Other Works in English</t>
  </si>
  <si>
    <t>Printz-Påhlson, Göran;Archambeau, Robert;Svensson, Lars-Håkan;Shaffer, Elinor</t>
  </si>
  <si>
    <t>https://ebookcentral.proquest.com/lib/iuavit/detail.action?docID=3384104</t>
  </si>
  <si>
    <t>Cicero, Against Verres, 2. 1. 53-86 : Latin Text with Introduction, Study Questions, Commentary and English Translation</t>
  </si>
  <si>
    <t>Gildenhard, Ingo</t>
  </si>
  <si>
    <t>Literature; History; Language/Linguistics</t>
  </si>
  <si>
    <t>https://ebookcentral.proquest.com/lib/iuavit/detail.action?docID=3384105</t>
  </si>
  <si>
    <t>The End of the World : Apocalypse and Its Aftermath in Western Culture</t>
  </si>
  <si>
    <t>Lisboa, Maria Manuel</t>
  </si>
  <si>
    <t>https://ebookcentral.proquest.com/lib/iuavit/detail.action?docID=3384106</t>
  </si>
  <si>
    <t>Women in Nineteenth-Century Russia : Lives and Culture</t>
  </si>
  <si>
    <t>Rosslyn, Wendy;Tosi, Alessandra</t>
  </si>
  <si>
    <t>https://ebookcentral.proquest.com/lib/iuavit/detail.action?docID=3384107</t>
  </si>
  <si>
    <t>The Passion of Max Von Oppenheim : Archaeology and Intrigue in the Middle East from Wilhelm II to Hitler</t>
  </si>
  <si>
    <t>Gossman, Lionel</t>
  </si>
  <si>
    <t>https://ebookcentral.proquest.com/lib/iuavit/detail.action?docID=3384108</t>
  </si>
  <si>
    <t>Oral Literature in Africa</t>
  </si>
  <si>
    <t>Finnegan, Ruth;Turin, Mark</t>
  </si>
  <si>
    <t>PL8010.F5 2012</t>
  </si>
  <si>
    <t>https://ebookcentral.proquest.com/lib/iuavit/detail.action?docID=3384109</t>
  </si>
  <si>
    <t>Coleridge's Laws : A Study of Coleridge in Malta</t>
  </si>
  <si>
    <t>Hough, Barry;Davis, Howard;Davis, Lydia;Kooy, Micheal John</t>
  </si>
  <si>
    <t>https://ebookcentral.proquest.com/lib/iuavit/detail.action?docID=3384110</t>
  </si>
  <si>
    <t>The Sword of Judith : Judith Studies Across the Disciplines</t>
  </si>
  <si>
    <t>Brine, Kevin R.;Ciletti, Elena;Lähnemann, Henrike</t>
  </si>
  <si>
    <t>BS1735.55.B75 2010</t>
  </si>
  <si>
    <t>https://ebookcentral.proquest.com/lib/iuavit/detail.action?docID=3384111</t>
  </si>
  <si>
    <t>Privilege and Property : Essays on the History of Copyright</t>
  </si>
  <si>
    <t>Deazley, Ronan;Kretschmer, Martin;Bently, Lionel</t>
  </si>
  <si>
    <t>https://ebookcentral.proquest.com/lib/iuavit/detail.action?docID=3384112</t>
  </si>
  <si>
    <t>The Altering Eye : Contemporary International Cinema</t>
  </si>
  <si>
    <t>Kolker, Robert Phillip</t>
  </si>
  <si>
    <t>https://ebookcentral.proquest.com/lib/iuavit/detail.action?docID=3384113</t>
  </si>
  <si>
    <t>Brownshirt Princess : A Study of the "Nazi Conscience"</t>
  </si>
  <si>
    <t>DD256.5 -- .G5985 2009eb</t>
  </si>
  <si>
    <t>Reuss-zur Lippe, Marie Adelheid, -- Prinzessin, -- 1895-1993. ; Nazis -- Germany. ; National socialism and literature. ; German poetry -- 20th century -- History and criticism.</t>
  </si>
  <si>
    <t>https://ebookcentral.proquest.com/lib/iuavit/detail.action?docID=3384114</t>
  </si>
  <si>
    <t>That Greece Might Still Be Free : The Philhellenes in the War of Independence</t>
  </si>
  <si>
    <t>St Clair, William;Beaton, Roderick</t>
  </si>
  <si>
    <t>https://ebookcentral.proquest.com/lib/iuavit/detail.action?docID=3384115</t>
  </si>
  <si>
    <t>Telling Tales : The Impact of Germany on English Children's Books 1780-1918</t>
  </si>
  <si>
    <t>Blamires, David</t>
  </si>
  <si>
    <t>https://ebookcentral.proquest.com/lib/iuavit/detail.action?docID=3384116</t>
  </si>
  <si>
    <t>Virgil, Aeneid, 4. 1-299 : Latin Text, Study Questions, Commentary and Interpretative Essays</t>
  </si>
  <si>
    <t>https://ebookcentral.proquest.com/lib/iuavit/detail.action?docID=3384117</t>
  </si>
  <si>
    <t>Is Behavioral Economics Doomed? : The Ordinary Versus the Extraordinary</t>
  </si>
  <si>
    <t>Levine, David K.</t>
  </si>
  <si>
    <t>HB74.P8I8 2012</t>
  </si>
  <si>
    <t>330.01/9</t>
  </si>
  <si>
    <t>https://ebookcentral.proquest.com/lib/iuavit/detail.action?docID=3384118</t>
  </si>
  <si>
    <t>Economic Fables</t>
  </si>
  <si>
    <t>Rubinstein, Ariel</t>
  </si>
  <si>
    <t>Economics</t>
  </si>
  <si>
    <t>https://ebookcentral.proquest.com/lib/iuavit/detail.action?docID=3384119</t>
  </si>
  <si>
    <t>Henry James's Europe : Heritage and Transfer</t>
  </si>
  <si>
    <t>Tredy, Dennis;Duperray, Annick;Harding, Adrian</t>
  </si>
  <si>
    <t>https://ebookcentral.proquest.com/lib/iuavit/detail.action?docID=3384120</t>
  </si>
  <si>
    <t>Storytelling in Northern Zambia : Theory, Method, Practice and Other Necessary Fictions</t>
  </si>
  <si>
    <t>Cancel, Robert;Turin, Mark</t>
  </si>
  <si>
    <t>LB1042.C363 2013eb</t>
  </si>
  <si>
    <t>https://ebookcentral.proquest.com/lib/iuavit/detail.action?docID=3384121</t>
  </si>
  <si>
    <t>The Classic Short Story, 1870-1925 : Theory of a Genre</t>
  </si>
  <si>
    <t>Goyet, Florence;Freccero, Yvonne</t>
  </si>
  <si>
    <t>PN441.G694 2014eb</t>
  </si>
  <si>
    <t>https://ebookcentral.proquest.com/lib/iuavit/detail.action?docID=3384122</t>
  </si>
  <si>
    <t>On History : Introduction to World History (1831); Opening Address at the Faculty of Letters, 9 January 1834; Preface to History of France (1869)</t>
  </si>
  <si>
    <t>Michelet, Jules;Gossman, Lionel;Kaplan, Edward K.;Kimmich, Flora</t>
  </si>
  <si>
    <t>D21.3.M534 2013eb</t>
  </si>
  <si>
    <t>https://ebookcentral.proquest.com/lib/iuavit/detail.action?docID=3384123</t>
  </si>
  <si>
    <t>Xiipúktan (First of All) : Three Views of the Origins of the Quechan People</t>
  </si>
  <si>
    <t>Bryant, George;Miller, Amy</t>
  </si>
  <si>
    <t>E99.Y94.B793 2013eb</t>
  </si>
  <si>
    <t>https://ebookcentral.proquest.com/lib/iuavit/detail.action?docID=3384124</t>
  </si>
  <si>
    <t>Beyond Holy Russia : The Life and Times of Stephen Graham</t>
  </si>
  <si>
    <t>Hughes, Michael</t>
  </si>
  <si>
    <t>DK26.H844 2014eb</t>
  </si>
  <si>
    <t>https://ebookcentral.proquest.com/lib/iuavit/detail.action?docID=3384125</t>
  </si>
  <si>
    <t>Tacitus, Annals, 15. 20-23, 33-45 : Latin Text, Study Aids with Vocabulary, and Commentary</t>
  </si>
  <si>
    <t>Owen, Mathew;Gildenhard, Ingo</t>
  </si>
  <si>
    <t>PA6705.A9.O946 2013</t>
  </si>
  <si>
    <t>https://ebookcentral.proquest.com/lib/iuavit/detail.action?docID=3384126</t>
  </si>
  <si>
    <t>Yeats's Mask : Yeats Annual No. 19</t>
  </si>
  <si>
    <t>Mills Harper, Margaret;Gould, Warwick</t>
  </si>
  <si>
    <t>PR5906.Y438 2013eb</t>
  </si>
  <si>
    <t>https://ebookcentral.proquest.com/lib/iuavit/detail.action?docID=3384127</t>
  </si>
  <si>
    <t>How to Read a Folktale : The 'Ibonia' Epic from Madagascar</t>
  </si>
  <si>
    <t>Haring, Lee;Turin, Mark</t>
  </si>
  <si>
    <t>GR357.H375 2013eb</t>
  </si>
  <si>
    <t>https://ebookcentral.proquest.com/lib/iuavit/detail.action?docID=3384128</t>
  </si>
  <si>
    <t>Feeding the City : Work and Food Culture of the Mumbai Dabbawalas</t>
  </si>
  <si>
    <t>Roncaglia, Sara;Arnone, Angela;Solinas, Pier Giorgio</t>
  </si>
  <si>
    <t>GT2853.I5.R663 2013</t>
  </si>
  <si>
    <t>https://ebookcentral.proquest.com/lib/iuavit/detail.action?docID=3384129</t>
  </si>
  <si>
    <t>Oral Literature in the Digital Age : Archiving Orality and Connecting with Communities</t>
  </si>
  <si>
    <t>Turin, Mark;Wheeler, Claire;Wilkinson, Eleanor</t>
  </si>
  <si>
    <t>GR72.O735 2013eb</t>
  </si>
  <si>
    <t>https://ebookcentral.proquest.com/lib/iuavit/detail.action?docID=3384130</t>
  </si>
  <si>
    <t>A Time Travel Dialogue</t>
  </si>
  <si>
    <t>Carroll, John W.</t>
  </si>
  <si>
    <t>BF1045.T55.T564 201</t>
  </si>
  <si>
    <t>https://ebookcentral.proquest.com/lib/iuavit/detail.action?docID=3384131</t>
  </si>
  <si>
    <t>In the Lands of the Romanovs : An Annotated Bibliography of First-Hand English-language Accounts of the Russian Empire (1613-1917)</t>
  </si>
  <si>
    <t>DK114.C767 2014eb</t>
  </si>
  <si>
    <t>https://ebookcentral.proquest.com/lib/iuavit/detail.action?docID=3384132</t>
  </si>
  <si>
    <t>Cicero, on Pompey's Command (de Imperio), 27-49 : Latin Text, Study Aids with Vocabulary, Commentary, and Translation</t>
  </si>
  <si>
    <t>Gildenhard, Ingo;Hodgson, Louise</t>
  </si>
  <si>
    <t>DG258.C534 2014eb</t>
  </si>
  <si>
    <t>https://ebookcentral.proquest.com/lib/iuavit/detail.action?docID=3384133</t>
  </si>
  <si>
    <t>Denis Diderot's Rameau's Nephew</t>
  </si>
  <si>
    <t>Diderot, Denis;Hobson, Marian;Tunstall, Kate;Warman, Caroline;Duc, Pascal</t>
  </si>
  <si>
    <t>PQ1979.A663 -- .D465 2014eb</t>
  </si>
  <si>
    <t>Diderot, Denis, -- 1713-1784. -- Neveu de Rameau.</t>
  </si>
  <si>
    <t>https://ebookcentral.proquest.com/lib/iuavit/detail.action?docID=3384134</t>
  </si>
  <si>
    <t>The Anglo-Scottish Ballad and Its Imaginary Contexts</t>
  </si>
  <si>
    <t>Atkinson, David</t>
  </si>
  <si>
    <t>PR507.A855 2014eb</t>
  </si>
  <si>
    <t>https://ebookcentral.proquest.com/lib/iuavit/detail.action?docID=3384135</t>
  </si>
  <si>
    <t>Le Palmier à Huile</t>
  </si>
  <si>
    <t>Quae</t>
  </si>
  <si>
    <t>Jacquemard, Jean-Charles</t>
  </si>
  <si>
    <t>https://ebookcentral.proquest.com/lib/iuavit/detail.action?docID=3398754</t>
  </si>
  <si>
    <t>Insectes Ravageurs des Graines de Légumineuses : Biologie des Bruchinae et Lutte Raisonnée en Afrique</t>
  </si>
  <si>
    <t>Huignard, Jacques;Glitho, Isabelle;Monge, Jean-Paul;Régnault-Roger, Catherine</t>
  </si>
  <si>
    <t>https://ebookcentral.proquest.com/lib/iuavit/detail.action?docID=3398755</t>
  </si>
  <si>
    <t>Appuyer les Organisations de Producteurs</t>
  </si>
  <si>
    <t>Dugué, Marie-Jo;Pesche, Denis;Le Coq, Jean-François</t>
  </si>
  <si>
    <t>https://ebookcentral.proquest.com/lib/iuavit/detail.action?docID=3398771</t>
  </si>
  <si>
    <t>Géographie des Interfaces : Une Nouvelle Vision des Territoires</t>
  </si>
  <si>
    <t>Allard, Paul;Ferrier, Jean-Paul;Pérez, Sandra;Lampin-Maillet, Corinne</t>
  </si>
  <si>
    <t>JC323.G46 2010</t>
  </si>
  <si>
    <t>Boundaries.</t>
  </si>
  <si>
    <t>https://ebookcentral.proquest.com/lib/iuavit/detail.action?docID=3398779</t>
  </si>
  <si>
    <t>Hétéroptères Phytophages et Prédateurs d'Afrique de L'Ouest</t>
  </si>
  <si>
    <t>Poutouli, Wiyao;Silvie, Pierre;Aberlenc, Henri-Pierre</t>
  </si>
  <si>
    <t>https://ebookcentral.proquest.com/lib/iuavit/detail.action?docID=3398805</t>
  </si>
  <si>
    <t>Une Histoire des Plantes Coloniales : Du Cacao à la Vanille</t>
  </si>
  <si>
    <t>Volper, Serge</t>
  </si>
  <si>
    <t>https://ebookcentral.proquest.com/lib/iuavit/detail.action?docID=3398815</t>
  </si>
  <si>
    <t>Le Fonio, une Céréale Africaine</t>
  </si>
  <si>
    <t>Cruz, Jean-François;Béavogui, Famoï;Dramé, Djibril</t>
  </si>
  <si>
    <t>https://ebookcentral.proquest.com/lib/iuavit/detail.action?docID=3398850</t>
  </si>
  <si>
    <t>Apprendre à Innover Dans un Monde Incertain : Concevoir les Futurs de l'agriculture et de L'alimentation</t>
  </si>
  <si>
    <t>Coudel, Émilie;Devautour, Hubert;Soulard, Christophe-Toussaint;Faure, Guy;Hubert, Bernard</t>
  </si>
  <si>
    <t>https://ebookcentral.proquest.com/lib/iuavit/detail.action?docID=3398886</t>
  </si>
  <si>
    <t>Qualité du Matériel Forestier de Reproduction et Application des Directives Communautaires</t>
  </si>
  <si>
    <t>Terrasson, Daniel</t>
  </si>
  <si>
    <t>https://ebookcentral.proquest.com/lib/iuavit/detail.action?docID=3398910</t>
  </si>
  <si>
    <t>Montagne, Laboratoire de la Diversité</t>
  </si>
  <si>
    <t>Barruet, Josette</t>
  </si>
  <si>
    <t>https://ebookcentral.proquest.com/lib/iuavit/detail.action?docID=3398914</t>
  </si>
  <si>
    <t>Territoires Ruraux et développement. Quel Rôle Pour la Recherche ?</t>
  </si>
  <si>
    <t>Berlan-Darqué, Martine;Demarne, Yves;Courtet, Catherine</t>
  </si>
  <si>
    <t>HN49.C6.T47 1994</t>
  </si>
  <si>
    <t>Rural development.</t>
  </si>
  <si>
    <t>https://ebookcentral.proquest.com/lib/iuavit/detail.action?docID=3398921</t>
  </si>
  <si>
    <t>Éléments d'hydraulique Torrentielle</t>
  </si>
  <si>
    <t>Meunier, Maurice</t>
  </si>
  <si>
    <t>https://ebookcentral.proquest.com/lib/iuavit/detail.action?docID=3398926</t>
  </si>
  <si>
    <t>Guide Neige et Avalanches. Connaissances, Pratiques, Sécurité</t>
  </si>
  <si>
    <t>Ancey, Christophe</t>
  </si>
  <si>
    <t>https://ebookcentral.proquest.com/lib/iuavit/detail.action?docID=3398928</t>
  </si>
  <si>
    <t>Lacs de Haute Altitude. Méthodes d'échantillonnage Ichtyologique. Gestion Piscicole</t>
  </si>
  <si>
    <t>Rivier, Bernard</t>
  </si>
  <si>
    <t>Agriculture; Science: Biology/Natural History</t>
  </si>
  <si>
    <t>https://ebookcentral.proquest.com/lib/iuavit/detail.action?docID=3398932</t>
  </si>
  <si>
    <t>Conséquences d'un Incendie de forêt Dans le Bassin Versant du Rimbaud</t>
  </si>
  <si>
    <t>Martin, Claude;Lavabre, Jacques</t>
  </si>
  <si>
    <t>https://ebookcentral.proquest.com/lib/iuavit/detail.action?docID=3398933</t>
  </si>
  <si>
    <t>Volatilisation de l'azote Ammoniacal des Lisiers Après épandage : Quantification et étude des Facteurs D'influence</t>
  </si>
  <si>
    <t>Moal, Jean-François</t>
  </si>
  <si>
    <t>https://ebookcentral.proquest.com/lib/iuavit/detail.action?docID=3398934</t>
  </si>
  <si>
    <t>Pratiques et Stratégies Foncières des Agriculteurs : Un Outil d'analyse Pour l'aménagement des Zones Fragiles</t>
  </si>
  <si>
    <t>Morardet, Sylvie</t>
  </si>
  <si>
    <t>https://ebookcentral.proquest.com/lib/iuavit/detail.action?docID=3398942</t>
  </si>
  <si>
    <t>Produits Phytosanitaires. Processus de Transfert et Modélisation Dans les Bassins Versants : Séminaire de Nançy : 22 et 23 Mai 1996</t>
  </si>
  <si>
    <t>Bélamie, René;Gouy, Véronique;Verrel, Jean-Louis</t>
  </si>
  <si>
    <t>https://ebookcentral.proquest.com/lib/iuavit/detail.action?docID=3398944</t>
  </si>
  <si>
    <t>Typologie Aquacole des Marais Salants de la Côte Atlantique</t>
  </si>
  <si>
    <t>Clément, Olivier</t>
  </si>
  <si>
    <t>https://ebookcentral.proquest.com/lib/iuavit/detail.action?docID=3398954</t>
  </si>
  <si>
    <t>La Mesure économique des Bénéfices Attachés Aux Hydrosystèmes</t>
  </si>
  <si>
    <t>Point, Patrick</t>
  </si>
  <si>
    <t>https://ebookcentral.proquest.com/lib/iuavit/detail.action?docID=3398960</t>
  </si>
  <si>
    <t>Coopérations, Territoires et Entreprises Agroalimentaires</t>
  </si>
  <si>
    <t>Fourcade, Colette;Muchnik, José;Treillon, Roland</t>
  </si>
  <si>
    <t>HD9012.5.F687 2010</t>
  </si>
  <si>
    <t>Food industry and trade--France.</t>
  </si>
  <si>
    <t>https://ebookcentral.proquest.com/lib/iuavit/detail.action?docID=3398963</t>
  </si>
  <si>
    <t>Friend Report Flow Regimes from International Experimental and Network Data</t>
  </si>
  <si>
    <t>Afouda, Abel;Gustard, Alan;Mkhandi, Simon;Oberlin, Guy</t>
  </si>
  <si>
    <t>https://ebookcentral.proquest.com/lib/iuavit/detail.action?docID=3398964</t>
  </si>
  <si>
    <t>Techniques de Reboisement : Guide Technique du Forestier Méditerranéen Français. Chapitre 7</t>
  </si>
  <si>
    <t>Marill, Robert</t>
  </si>
  <si>
    <t>https://ebookcentral.proquest.com/lib/iuavit/detail.action?docID=3398968</t>
  </si>
  <si>
    <t>La Modélisation D'accompagnement : Une démarche Participative en Appui Au développement Durable</t>
  </si>
  <si>
    <t>Étienne, Michel</t>
  </si>
  <si>
    <t>https://ebookcentral.proquest.com/lib/iuavit/detail.action?docID=3398972</t>
  </si>
  <si>
    <t>Plantation d'arbres en Prairie Pâturée</t>
  </si>
  <si>
    <t>Agrech, Gilles</t>
  </si>
  <si>
    <t>https://ebookcentral.proquest.com/lib/iuavit/detail.action?docID=3398977</t>
  </si>
  <si>
    <t>Les Bassins Versants Expérimentaux de Draix. Laboratoire d'étude de l'érosion en Montagne</t>
  </si>
  <si>
    <t>Mathys, Nicolle</t>
  </si>
  <si>
    <t>https://ebookcentral.proquest.com/lib/iuavit/detail.action?docID=3398978</t>
  </si>
  <si>
    <t>Le Pivot</t>
  </si>
  <si>
    <t>RNED;Cemagref</t>
  </si>
  <si>
    <t>Engineering: General; Agriculture</t>
  </si>
  <si>
    <t>https://ebookcentral.proquest.com/lib/iuavit/detail.action?docID=3398979</t>
  </si>
  <si>
    <t>De l'expertise Scientifique Au Risque Négocié. le Cas du Risque en Montagne</t>
  </si>
  <si>
    <t>Decrop, Geneviève</t>
  </si>
  <si>
    <t>https://ebookcentral.proquest.com/lib/iuavit/detail.action?docID=3398981</t>
  </si>
  <si>
    <t>Etude de la Formation d'un Lit Torrentiel</t>
  </si>
  <si>
    <t>Koulinski, Vincent</t>
  </si>
  <si>
    <t>Science: Geology; Science</t>
  </si>
  <si>
    <t>GB561.K68 1994</t>
  </si>
  <si>
    <t>Floodplain morphology.</t>
  </si>
  <si>
    <t>https://ebookcentral.proquest.com/lib/iuavit/detail.action?docID=3398986</t>
  </si>
  <si>
    <t>Stations Forestières : Guide Technique du Forestier Méditerranéen Français. Chapitre 2</t>
  </si>
  <si>
    <t>Boisseau, Bénédicte;Nouals, Daniel;Ripert, Christian</t>
  </si>
  <si>
    <t>Agriculture; Science: Botany</t>
  </si>
  <si>
    <t>https://ebookcentral.proquest.com/lib/iuavit/detail.action?docID=3398990</t>
  </si>
  <si>
    <t>Ramiran 98 Actes de la 8e Conférence Internationale Sur les Stratégies de Gestion des déchets Organiques en Agriculture : Vol. 1: Proceedings of the Oral Presentations</t>
  </si>
  <si>
    <t>Maudet, Marie-Noëlle;Martinez, José</t>
  </si>
  <si>
    <t>S654.F36 1998</t>
  </si>
  <si>
    <t>Organic wastes -- Congresses. ; Organic wastes as fertilizer -- Congresses.</t>
  </si>
  <si>
    <t>https://ebookcentral.proquest.com/lib/iuavit/detail.action?docID=3398997</t>
  </si>
  <si>
    <t>Floodaware Rapport Final du Programme Européen Climat et Environnement : Action 2. 3. 1. : Risques Hydrologiques et Hydrogéologiques. 1994-1998</t>
  </si>
  <si>
    <t>Gendreau, Nicolas</t>
  </si>
  <si>
    <t>https://ebookcentral.proquest.com/lib/iuavit/detail.action?docID=3399000</t>
  </si>
  <si>
    <t>Du Concept de BVRE à Celui de Zone Atelier Dans les Recherches Menées en Eaux Continentales</t>
  </si>
  <si>
    <t>Houi, Didier;Verrel, Jean-Louis</t>
  </si>
  <si>
    <t>https://ebookcentral.proquest.com/lib/iuavit/detail.action?docID=3399006</t>
  </si>
  <si>
    <t>Guide Pour le Diagnostic Rapide des Barrages Anciens</t>
  </si>
  <si>
    <t>Degoutte, Gérard</t>
  </si>
  <si>
    <t>https://ebookcentral.proquest.com/lib/iuavit/detail.action?docID=3399008</t>
  </si>
  <si>
    <t>Gardens of Oceania</t>
  </si>
  <si>
    <t>Lebot, Vincent;Walter, Annie</t>
  </si>
  <si>
    <t>SB451.36.O3.W34 2007</t>
  </si>
  <si>
    <t>Food crops -- Oceania. ; Agrobiodiversity -- Oceania. ; Agriculture -- Oceania.</t>
  </si>
  <si>
    <t>https://ebookcentral.proquest.com/lib/iuavit/detail.action?docID=3399010</t>
  </si>
  <si>
    <t>Compte-Rendu de Recherches N° 3 BVRE de Draix</t>
  </si>
  <si>
    <t>https://ebookcentral.proquest.com/lib/iuavit/detail.action?docID=3399017</t>
  </si>
  <si>
    <t>Rhéologie des Boues et Laves Torrentielles : Étude de Dispersions et Suspensions Concentrées</t>
  </si>
  <si>
    <t>Coussot, Philippe</t>
  </si>
  <si>
    <t>QE599.A2.C68 1993</t>
  </si>
  <si>
    <t>Mudflows -- Rheology.</t>
  </si>
  <si>
    <t>https://ebookcentral.proquest.com/lib/iuavit/detail.action?docID=3399025</t>
  </si>
  <si>
    <t>Perception Publique et Attitudes des Propriétaires Envers la forêt en Europe : Commentaires et Synthèses du Groupe de Travail COST E3 - WG1 1994-1998</t>
  </si>
  <si>
    <t>https://ebookcentral.proquest.com/lib/iuavit/detail.action?docID=3399029</t>
  </si>
  <si>
    <t>Insufflation d'air Fines Bulles Application Aux Stations d'épuration en Boues Activées des Petites Collectivités : Document Technique FNDAE N° 26</t>
  </si>
  <si>
    <t>Duchène, Philippe;Cotteux, Éric</t>
  </si>
  <si>
    <t>https://ebookcentral.proquest.com/lib/iuavit/detail.action?docID=3399032</t>
  </si>
  <si>
    <t>Estimation de l'évapotranspiration Par Télédétection</t>
  </si>
  <si>
    <t>Vidal, Alain</t>
  </si>
  <si>
    <t>Science; Science: Physics</t>
  </si>
  <si>
    <t>QC915.5.V53 1990</t>
  </si>
  <si>
    <t>Evapotranspiration -- Remote sensing.</t>
  </si>
  <si>
    <t>https://ebookcentral.proquest.com/lib/iuavit/detail.action?docID=3399040</t>
  </si>
  <si>
    <t>L' apiculture</t>
  </si>
  <si>
    <t>Paterson, Peter David;Cockle, Anya</t>
  </si>
  <si>
    <t>Agriculture; Social Science</t>
  </si>
  <si>
    <t>https://ebookcentral.proquest.com/lib/iuavit/detail.action?docID=3399042</t>
  </si>
  <si>
    <t>Production de Plants Forestiers : Guide Technique du Forestier Méditerranéen Français. Chapitre 6</t>
  </si>
  <si>
    <t>Argillier, Christine;Falconnet, Gérard;Gruez, Jean</t>
  </si>
  <si>
    <t>Agriculture; Engineering: General</t>
  </si>
  <si>
    <t>https://ebookcentral.proquest.com/lib/iuavit/detail.action?docID=3399052</t>
  </si>
  <si>
    <t>Séminaire de Rhéologie</t>
  </si>
  <si>
    <t>QC189.5 -- .P73 1998eb</t>
  </si>
  <si>
    <t>531/.1134</t>
  </si>
  <si>
    <t>Rheology -- Congresses.</t>
  </si>
  <si>
    <t>https://ebookcentral.proquest.com/lib/iuavit/detail.action?docID=3399059</t>
  </si>
  <si>
    <t>Typologie des Stations Forestières du Massif Sainte-Victoire</t>
  </si>
  <si>
    <t>Ladier, Jean;Boisseau, Bénédicte</t>
  </si>
  <si>
    <t>Science: Botany; Agriculture</t>
  </si>
  <si>
    <t>https://ebookcentral.proquest.com/lib/iuavit/detail.action?docID=3399066</t>
  </si>
  <si>
    <t>Le Golfe du Lion : Un Observatoire de l'environnement en Méditerranée</t>
  </si>
  <si>
    <t>Monaco, André;Ludwig, Wolfgang;Provansal, Mireille;Picon, Bernard</t>
  </si>
  <si>
    <t>GE160.F8.G64 2009</t>
  </si>
  <si>
    <t>Lions, Gulf of (France) -- Environmental conditions. ; Mediterranean Coast (France) -- Environmental conditions.</t>
  </si>
  <si>
    <t>https://ebookcentral.proquest.com/lib/iuavit/detail.action?docID=3399071</t>
  </si>
  <si>
    <t>Les Maladies émergentes : Épidémiologie Chez le Végétal, l'animal et L'homme</t>
  </si>
  <si>
    <t>Barnouin, Jacques;Sache, Ivan</t>
  </si>
  <si>
    <t>Health; Social Science</t>
  </si>
  <si>
    <t>RA651.M35 2010</t>
  </si>
  <si>
    <t>Emerging infectious diseases. ; Epidemiology.</t>
  </si>
  <si>
    <t>https://ebookcentral.proquest.com/lib/iuavit/detail.action?docID=3399118</t>
  </si>
  <si>
    <t>Forests, Carbon Cycle and Climate Change</t>
  </si>
  <si>
    <t>Loustau, Denis</t>
  </si>
  <si>
    <t>Science; Science: Biology/Natural History</t>
  </si>
  <si>
    <t>QH344.F7.F67 2010</t>
  </si>
  <si>
    <t>Carbon cycle (Biogeochemistry) -- France. ; Biogeochemical cycles -- France.</t>
  </si>
  <si>
    <t>https://ebookcentral.proquest.com/lib/iuavit/detail.action?docID=3399154</t>
  </si>
  <si>
    <t>Les Pêches Côtières Bretonnes : Méthodes d'analyse et Aménagement</t>
  </si>
  <si>
    <t>Talidec, Catherine;Boncoeur, Jean;Boude, Jean-Pierre</t>
  </si>
  <si>
    <t>SH270.B7.P43 2009</t>
  </si>
  <si>
    <t>Fisheries -- France -- Brittany. ; Aquaculture -- France -- Brittany.</t>
  </si>
  <si>
    <t>https://ebookcentral.proquest.com/lib/iuavit/detail.action?docID=3399169</t>
  </si>
  <si>
    <t>Homme et Animal, la Question des Frontières</t>
  </si>
  <si>
    <t>Camos, Valérie;Cézilly, Frank;Guenancia, Pierre;Sylvestre, Jean-Pierre</t>
  </si>
  <si>
    <t>Science: Biology/Natural History; Science</t>
  </si>
  <si>
    <t>GN280.7.H65 2009</t>
  </si>
  <si>
    <t>Human beings -- Animal nature. ; Human-animal relationships.</t>
  </si>
  <si>
    <t>https://ebookcentral.proquest.com/lib/iuavit/detail.action?docID=3399170</t>
  </si>
  <si>
    <t>Génétiquement Indéterminé : Le Vivant Auto-Organisé</t>
  </si>
  <si>
    <t>Pouteau, Sylvie</t>
  </si>
  <si>
    <t>https://ebookcentral.proquest.com/lib/iuavit/detail.action?docID=3399254</t>
  </si>
  <si>
    <t>Surveillance, Maintenance and Diagnosis of Flood Protection Dikes : A Practical Handbook for Owners and Operators</t>
  </si>
  <si>
    <t>Mériaux, Patrice;Royet, Paul</t>
  </si>
  <si>
    <t>Engineering; Engineering: Civil</t>
  </si>
  <si>
    <t>TC337.M47 2007</t>
  </si>
  <si>
    <t>Dikes (Engineering) -- Handbooks, manuals, etc. ; Waterways -- Handbooks, manuals, etc. ; Dikes (Engineering) -- Maintenance and repair.</t>
  </si>
  <si>
    <t>https://ebookcentral.proquest.com/lib/iuavit/detail.action?docID=3399276</t>
  </si>
  <si>
    <t>Marine Renewable Energies : Prospective Foresight Study For 2030</t>
  </si>
  <si>
    <t>Collectif;Paillard, Michel;Lamblin, Véronique;Lacroix, Denis</t>
  </si>
  <si>
    <t>GC1015.2.M37 2009</t>
  </si>
  <si>
    <t>Marine resources. ; Renewable energy sources. ; Ocean energy resources.</t>
  </si>
  <si>
    <t>https://ebookcentral.proquest.com/lib/iuavit/detail.action?docID=3399297</t>
  </si>
  <si>
    <t>La Santé Animale 2 : 2. Principales Maladies</t>
  </si>
  <si>
    <t>Hunter, Archie;Uilenberg, Gerrit;Meyer, Christian;Cockle, Anya</t>
  </si>
  <si>
    <t>SF724.H86 2006</t>
  </si>
  <si>
    <t>Livestock -- Diseases -- Tropics. ; Animal health -- Tropics. ; Veterinary tropical medicine.</t>
  </si>
  <si>
    <t>https://ebookcentral.proquest.com/lib/iuavit/detail.action?docID=3399348</t>
  </si>
  <si>
    <t>La Santé Animale : 1. Généralités</t>
  </si>
  <si>
    <t>Hunter, Archie;Meyer, Christian;Uilenberg, Gerrit;Cockle, Anya</t>
  </si>
  <si>
    <t>https://ebookcentral.proquest.com/lib/iuavit/detail.action?docID=3399385</t>
  </si>
  <si>
    <t>Les Semences</t>
  </si>
  <si>
    <t>Turner, Michael;Feyt, Henri</t>
  </si>
  <si>
    <t>SB117.T8714 2013</t>
  </si>
  <si>
    <t>Seed technology. ; Agriculture.</t>
  </si>
  <si>
    <t>https://ebookcentral.proquest.com/lib/iuavit/detail.action?docID=3399409</t>
  </si>
  <si>
    <t>Du Cemagref à Irstea : Un Engagement Pour la Recherche Environnementale</t>
  </si>
  <si>
    <t>Griset, Pascal</t>
  </si>
  <si>
    <t>SB71.G75 2011</t>
  </si>
  <si>
    <t>Agronomy -- History.</t>
  </si>
  <si>
    <t>https://ebookcentral.proquest.com/lib/iuavit/detail.action?docID=3399437</t>
  </si>
  <si>
    <t>Le Virus du Nil Occidental</t>
  </si>
  <si>
    <t>Bicout, Dominique J.</t>
  </si>
  <si>
    <t>Social Science; Medicine; Health</t>
  </si>
  <si>
    <t>RA644.W47 -- .A764 2013eb</t>
  </si>
  <si>
    <t>West Nile fever -- Geographical distribution.</t>
  </si>
  <si>
    <t>https://ebookcentral.proquest.com/lib/iuavit/detail.action?docID=3399473</t>
  </si>
  <si>
    <t>Le Palmier à Huile en Plantation Villageoise</t>
  </si>
  <si>
    <t>Science: Botany; Science</t>
  </si>
  <si>
    <t>QK867 -- .J337 2013eb</t>
  </si>
  <si>
    <t>Plants -- Nutrition -- Tropics.</t>
  </si>
  <si>
    <t>https://ebookcentral.proquest.com/lib/iuavit/detail.action?docID=3399483</t>
  </si>
  <si>
    <t>Féminin-Masculin : Genre et Agricultures Familiales</t>
  </si>
  <si>
    <t>Guétat-Bernard, Hélène</t>
  </si>
  <si>
    <t>HQ1075 -- .F46 2014eb</t>
  </si>
  <si>
    <t>Gender identity -- History. ; Sex -- Social aspects.</t>
  </si>
  <si>
    <t>https://ebookcentral.proquest.com/lib/iuavit/detail.action?docID=3399504</t>
  </si>
  <si>
    <t>Les Cultures Fourragères</t>
  </si>
  <si>
    <t>Klein, Henri-Dominique;Rippstein, Georges;Huguenin, Johann;Toutain, Bernard;Guerin, Hubert;Louppe, Dominique</t>
  </si>
  <si>
    <t>SB193 -- .C858 2014eb</t>
  </si>
  <si>
    <t>Forage plants.</t>
  </si>
  <si>
    <t>https://ebookcentral.proquest.com/lib/iuavit/detail.action?docID=3399530</t>
  </si>
  <si>
    <t>Diversité des Agricultures Familiales : Exister, Se Transformer, Devenir</t>
  </si>
  <si>
    <t>Bosc, Pierre-Marie;Sourisseau, Jean-Michel;Bonnal, Philippe;Gasselin, Pierre;Valette, Elodie;Bélières, Jean-François;Friedmann, Harriet</t>
  </si>
  <si>
    <t>https://ebookcentral.proquest.com/lib/iuavit/detail.action?docID=3399546</t>
  </si>
  <si>
    <t>Costing Improved Water Supply Systems for Low-Income Communities : A Practical Manual</t>
  </si>
  <si>
    <t>Carlevaro, Fabrizio;Gonzalez, Cristian</t>
  </si>
  <si>
    <t>TD927 -- .C37 2015eb</t>
  </si>
  <si>
    <t>Water-supply, Rural.</t>
  </si>
  <si>
    <t>https://ebookcentral.proquest.com/lib/iuavit/detail.action?docID=3425842</t>
  </si>
  <si>
    <t>Thomas Annan of Glasgow : Pioneer of the Documentary Photograph</t>
  </si>
  <si>
    <t>https://ebookcentral.proquest.com/lib/iuavit/detail.action?docID=3440246</t>
  </si>
  <si>
    <t>From Dust to Digital : Ten Years of the Endangered Archives Programme</t>
  </si>
  <si>
    <t>Kominko, Maja</t>
  </si>
  <si>
    <t>Fine Arts; Social Science</t>
  </si>
  <si>
    <t>https://ebookcentral.proquest.com/lib/iuavit/detail.action?docID=3440247</t>
  </si>
  <si>
    <t>Measuring the Master Race : Physical Anthropology in Norway 1890-1945</t>
  </si>
  <si>
    <t>Kyllingstad, Jon Røyne</t>
  </si>
  <si>
    <t>https://ebookcentral.proquest.com/lib/iuavit/detail.action?docID=3440248</t>
  </si>
  <si>
    <t>Animals and Medicine : The Contribution of Animal Experiments to the Control of Disease</t>
  </si>
  <si>
    <t>Botting, Jack;Botting, Regina;Morrison, Adrian R.</t>
  </si>
  <si>
    <t>https://ebookcentral.proquest.com/lib/iuavit/detail.action?docID=3440249</t>
  </si>
  <si>
    <t>The Scientific Revolution Revisited</t>
  </si>
  <si>
    <t>Teich, Mikulás</t>
  </si>
  <si>
    <t>Science: General; History</t>
  </si>
  <si>
    <t>https://ebookcentral.proquest.com/lib/iuavit/detail.action?docID=3440250</t>
  </si>
  <si>
    <t>Fiesco's Conspiracy at Genoa</t>
  </si>
  <si>
    <t>Schiller, Friedrich;Guthrie, John;Kimmich, Flora</t>
  </si>
  <si>
    <t>https://ebookcentral.proquest.com/lib/iuavit/detail.action?docID=3440251</t>
  </si>
  <si>
    <t>Dictionary of the British English Spelling System</t>
  </si>
  <si>
    <t>Brooks, Greg</t>
  </si>
  <si>
    <t>https://ebookcentral.proquest.com/lib/iuavit/detail.action?docID=3440252</t>
  </si>
  <si>
    <t>Essays in Conveyancing and Property Law in Honour of Professor Robert Rennie</t>
  </si>
  <si>
    <t>McCarthy, Frankie;Chalmers, James;Bogle, Stephen</t>
  </si>
  <si>
    <t>https://ebookcentral.proquest.com/lib/iuavit/detail.action?docID=3440253</t>
  </si>
  <si>
    <t>Complexity, Security and Civil Society in East Asia : Foreign Policies and the Korean Peninsula</t>
  </si>
  <si>
    <t>Hayes, Peter;Yi, Kiho</t>
  </si>
  <si>
    <t>https://ebookcentral.proquest.com/lib/iuavit/detail.action?docID=3440254</t>
  </si>
  <si>
    <t>What Works in Conservation : 2015</t>
  </si>
  <si>
    <t>Sutherland, William J.;Dicks, Lynn V.;Ockendon, Nancy;Smith, Rebecca K.</t>
  </si>
  <si>
    <t>Environmental Studies; Science: Biology/Natural History; Science; Economics</t>
  </si>
  <si>
    <t>QH75 -- .W438 2015eb</t>
  </si>
  <si>
    <t>Biodiversity conservation -- Management. ; Biodiversity conservation -- Government policy.</t>
  </si>
  <si>
    <t>https://ebookcentral.proquest.com/lib/iuavit/detail.action?docID=3440255</t>
  </si>
  <si>
    <t>Defending Christian Faith : The Fifth Part of the Christian Apology of Gerasimus</t>
  </si>
  <si>
    <t>Bahkou, Abjar</t>
  </si>
  <si>
    <t>BX382 -- .B34 2014eb</t>
  </si>
  <si>
    <t>Orthodox Eastern Church. ; Christianity.</t>
  </si>
  <si>
    <t>https://ebookcentral.proquest.com/lib/iuavit/detail.action?docID=3572110</t>
  </si>
  <si>
    <t>Optically Induced Nanostructures : Biomedical and Technical Applications</t>
  </si>
  <si>
    <t>König, Karsten;Ostendorf, Andreas;König, Karsten</t>
  </si>
  <si>
    <t>Engineering; Engineering: Civil; Engineering: General</t>
  </si>
  <si>
    <t>TA418.9.N35 -- .O679 2015eb</t>
  </si>
  <si>
    <t>Nanostructured materials -- Optical properties. ; Biomedical engineering. ; Nonlinear optics. ; Femtosecond lasers.</t>
  </si>
  <si>
    <t>https://ebookcentral.proquest.com/lib/iuavit/detail.action?docID=3572111</t>
  </si>
  <si>
    <t>The Sons of Scripture : The Karaites in Poland and Lithuania in the Twentieth Century</t>
  </si>
  <si>
    <t>Kizilov, Mikhail</t>
  </si>
  <si>
    <t>BM185 -- .K595 2015eb</t>
  </si>
  <si>
    <t>Karaites -- Poland. ; Lithuania.</t>
  </si>
  <si>
    <t>https://ebookcentral.proquest.com/lib/iuavit/detail.action?docID=3572112</t>
  </si>
  <si>
    <t>Plant Life of Southwestern Australia : Adaptations for Survival</t>
  </si>
  <si>
    <t>Groom, Philip;Lamont, Byron</t>
  </si>
  <si>
    <t>Science; Science: Botany</t>
  </si>
  <si>
    <t>QK455 -- .G766 2015eb</t>
  </si>
  <si>
    <t>Plants -- Australia -- South Australia. ; Botany -- Australia.</t>
  </si>
  <si>
    <t>https://ebookcentral.proquest.com/lib/iuavit/detail.action?docID=3572114</t>
  </si>
  <si>
    <t>Vergil´s Political Commentary : In the Eclogues, Georgics and Aeneid</t>
  </si>
  <si>
    <t>Weeda, Leendert</t>
  </si>
  <si>
    <t>PN51 -- .W443 2015eb</t>
  </si>
  <si>
    <t>Virgil. ; Politics in literature.</t>
  </si>
  <si>
    <t>https://ebookcentral.proquest.com/lib/iuavit/detail.action?docID=3572134</t>
  </si>
  <si>
    <t>The I of the Storm : Understanding the Suicidal Mind</t>
  </si>
  <si>
    <t>Lester, David</t>
  </si>
  <si>
    <t>Medicine; Psychology</t>
  </si>
  <si>
    <t>RC569 -- .L47 2014eb</t>
  </si>
  <si>
    <t>Suicide -- Psychology. ; Suicide.</t>
  </si>
  <si>
    <t>https://ebookcentral.proquest.com/lib/iuavit/detail.action?docID=3572135</t>
  </si>
  <si>
    <t>Frankreichs Außenpolitik in der Julikrise 1914 : Ein Beitrag Zur Geschichte des Ausbruchs des Ersten Weltkrieges</t>
  </si>
  <si>
    <t>Schmidt, Stefan</t>
  </si>
  <si>
    <t>D516 -- .S36 2009eb</t>
  </si>
  <si>
    <t>World War, 1914-1918 -- France. ; France -- Foreign relations -- 1914-1940.</t>
  </si>
  <si>
    <t>https://ebookcentral.proquest.com/lib/iuavit/detail.action?docID=3572138</t>
  </si>
  <si>
    <t>Das Deutsche Historische Institut Paris und Seine Gründungsväter : Ein Personengeschichtlicher Ansatz</t>
  </si>
  <si>
    <t xml:space="preserve">Pfeil, Ulrich;Martens, Stefan;Martens, Stefan </t>
  </si>
  <si>
    <t>DD120.F8 -- .D488 2007eb</t>
  </si>
  <si>
    <t>Deutsches Historisches Institut (Paris, France) -- History. ; France -- Relations -- Germany. ; Germany -- Relations -- France.</t>
  </si>
  <si>
    <t>https://ebookcentral.proquest.com/lib/iuavit/detail.action?docID=3572142</t>
  </si>
  <si>
    <t>Abgrund Metz : Kriegserfahrung, Belagerungsalltag und Nationale Erziehung Im Schatten Einer Festung 1870/71</t>
  </si>
  <si>
    <t>Steinbach, Matthias</t>
  </si>
  <si>
    <t>DC304 -- .S745 2002eb</t>
  </si>
  <si>
    <t>943.08/23443853</t>
  </si>
  <si>
    <t>Franco-Prussian War, 1870-1871 -- Campaigns -- France -- Metz Regiony 1870-1940. ; Metz (France) -- History -- Siege, 1870. ; France -- History, Military -- 19th century. ; Germany -- History, Military -- 19th century. ; France -- Politics and government.</t>
  </si>
  <si>
    <t>https://ebookcentral.proquest.com/lib/iuavit/detail.action?docID=3572158</t>
  </si>
  <si>
    <t>Burgund und das Reich : Spätmittelalterliche Außenpolitik Am Beispiel der Regierung Karls des Kühnen (1465-1477)</t>
  </si>
  <si>
    <t>Ehm, Petra</t>
  </si>
  <si>
    <t>DC611.B781 -- .E36 2002eb</t>
  </si>
  <si>
    <t>Charles, -- Duke of Burgundy, -- 1433-1477. ; Burgundy (France) -- History -- House of Valois, 1363-1477. ; Burgundy (France) -- Foreign relations -- Holy Roman Empire. ; Holy Roman Empire -- History -- Frederick III, 1440-1493.</t>
  </si>
  <si>
    <t>https://ebookcentral.proquest.com/lib/iuavit/detail.action?docID=3572173</t>
  </si>
  <si>
    <t>Computational Approaches to the Study of Movement in Archaeology : Theory, Practice and Interpretation of Factors and Effects of Long Term Landscape Formation and Transformation</t>
  </si>
  <si>
    <t>Polla, Silvia;Verhagen, Philip</t>
  </si>
  <si>
    <t>CC75 -- .C585 2014eb</t>
  </si>
  <si>
    <t>Landscape archaeology.</t>
  </si>
  <si>
    <t>https://ebookcentral.proquest.com/lib/iuavit/detail.action?docID=3572221</t>
  </si>
  <si>
    <t>Initiation into the Mysteries of the Ancient World</t>
  </si>
  <si>
    <t>Bremmer, Jan N.</t>
  </si>
  <si>
    <t>BL795.M9 -- B74 2014eb</t>
  </si>
  <si>
    <t>Mysteries, Religious. ; Civilization, Classical. ; History, Ancient.</t>
  </si>
  <si>
    <t>https://ebookcentral.proquest.com/lib/iuavit/detail.action?docID=3572232</t>
  </si>
  <si>
    <t>Prehistoric Mobility and Diet in the West Eurasian Steppes 3500 to 300 BC : An Isotopic Approach</t>
  </si>
  <si>
    <t>Gerling, Claudia</t>
  </si>
  <si>
    <t>DS328 -- .G475 2015eb</t>
  </si>
  <si>
    <t>Prehistoric peoples -- Eurasia. ; Social archaeology -- Eurasia. ; Excavations (Archaeology) -- Eurasia. ; Antiquities, Prehistoric -- Eurasia. ; Stable isotopes. ; Eurasia -- Antiquities.</t>
  </si>
  <si>
    <t>https://ebookcentral.proquest.com/lib/iuavit/detail.action?docID=3572248</t>
  </si>
  <si>
    <t>Geschichte Als Element Antiker Kultur : Die Griechen und Ihre Geschichte(n)</t>
  </si>
  <si>
    <t>Gehrke, Hans-Joachim</t>
  </si>
  <si>
    <t>DF211 -- .G447 2014eb</t>
  </si>
  <si>
    <t>Historiography -- Greece -- History. ; Greece -- Civilization.</t>
  </si>
  <si>
    <t>https://ebookcentral.proquest.com/lib/iuavit/detail.action?docID=3572250</t>
  </si>
  <si>
    <t>Les 'autres' Rois : Études Sur la Royauté Comme Notion Hiérarchique Dans la Société Au Bas Moyen Âge et Au début de l'époque Moderne</t>
  </si>
  <si>
    <t>Hiltmann, Torsten</t>
  </si>
  <si>
    <t>D400.F5 -- .A987 2010eb</t>
  </si>
  <si>
    <t>Courts and courtiers. ; Fools and jesters. ; Minstrels. ; Kings and rulers, Medieval.</t>
  </si>
  <si>
    <t>https://ebookcentral.proquest.com/lib/iuavit/detail.action?docID=3572268</t>
  </si>
  <si>
    <t>Ein 'neues' Deutschland? eine Deutsch-Französische Bilanz 20 Jahre Nach der Vereinigung : Une 'nouvelle' Allemagne? un Bilan Franco-Allemand 20 Ans Après L'unification</t>
  </si>
  <si>
    <t>Marcowitz, Reiner</t>
  </si>
  <si>
    <t>DD120.F8 -- .N484 2010eb</t>
  </si>
  <si>
    <t>Germany -- Relations -- France -- Congresses. ; France -- Relations -- Germany -- Congresses. ; Germany -- History -- Unification, 1990 -- Congresses.</t>
  </si>
  <si>
    <t>https://ebookcentral.proquest.com/lib/iuavit/detail.action?docID=3572321</t>
  </si>
  <si>
    <t>Acteurs des Transferts Culturels en Méditerranée Médiévale</t>
  </si>
  <si>
    <t>Abdellatif, Rania;Benhima, Yassir;König, Daniel;Ruchaud, Elisabeth ;König, Daniel</t>
  </si>
  <si>
    <t>DE100 -- .A284 2012eb</t>
  </si>
  <si>
    <t>International relations and culture -- Mediterranean Region -- History. ; Mediterranean Region -- Relations -- History. ; Mediterranean Region -- History -- 476-1517.</t>
  </si>
  <si>
    <t>https://ebookcentral.proquest.com/lib/iuavit/detail.action?docID=3572329</t>
  </si>
  <si>
    <t>Die Erfindung des Modernen Militarismus : Krieg, Militär und Bürgerliche Gesellschaft Im Politischen Denken der Französischen Revolution 1789-1799</t>
  </si>
  <si>
    <t>Kruse, Wolfgang</t>
  </si>
  <si>
    <t>DC162 -- .K787 2003eb</t>
  </si>
  <si>
    <t>France -- History, Military -- 1789-1815. ; France -- History -- Revolution, 1789-1799.</t>
  </si>
  <si>
    <t>https://ebookcentral.proquest.com/lib/iuavit/detail.action?docID=3572330</t>
  </si>
  <si>
    <t>Suger en Question : Regards Croisés Sur Saint-Denis. Études Réunis Par Rolf Große</t>
  </si>
  <si>
    <t>Große, Rolf;Große, Rolf</t>
  </si>
  <si>
    <t>Architecture; History</t>
  </si>
  <si>
    <t>DC89.7.S8 -- .S84 2004eb</t>
  </si>
  <si>
    <t>Suger, -- Abbot of Saint Denis, -- 1081-1151 -- Influence -- Congresses. ; Abbaye de Saint-Denis (Saint-Denis, France) -- Congresses. ; Abbots -- France -- Biography -- Congresses. ; France -- History -- Louis VI, 1108-1137 -- Congresses. ; France -- History -- Louis VII, 1137-1180 -- Congresses.</t>
  </si>
  <si>
    <t>https://ebookcentral.proquest.com/lib/iuavit/detail.action?docID=3572396</t>
  </si>
  <si>
    <t>Pierre Viénot (1897-1944): ein Intellektueller in der Politik : Ein Intellektueller in der Politik</t>
  </si>
  <si>
    <t>Sonnabend, Gaby</t>
  </si>
  <si>
    <t>DC373.V54 -- .S66 2005eb</t>
  </si>
  <si>
    <t>944.081/092</t>
  </si>
  <si>
    <t>Viénot, Pierre, -- 1897-1944. ; France -- Politics and government -- 20th century.</t>
  </si>
  <si>
    <t>https://ebookcentral.proquest.com/lib/iuavit/detail.action?docID=3572401</t>
  </si>
  <si>
    <t>Der Europadiskurs Im Deutschen Exil 1933-1945</t>
  </si>
  <si>
    <t>Schilmar, Boris</t>
  </si>
  <si>
    <t>DD256.7 -- .S385 2004eb</t>
  </si>
  <si>
    <t>Political refugees -- Germany -- History -- 20th century. ; European federation -- History -- 20th century. ; Exiles -- Germany -- History -- 20th century. ; Germans -- Foreign countries -- History -- 20th century. ; Anti-Nazi movement. ; Europe -- Politics and government -- 1918-1945.</t>
  </si>
  <si>
    <t>https://ebookcentral.proquest.com/lib/iuavit/detail.action?docID=3572403</t>
  </si>
  <si>
    <t>Vibrant Architecture : Matter As a Codesigner of Living Structures</t>
  </si>
  <si>
    <t>Armstrong, Rachel</t>
  </si>
  <si>
    <t>NA2500 -- .A767 2015eb</t>
  </si>
  <si>
    <t>Architecture -- Philosophy. ; Sustainable architecture.</t>
  </si>
  <si>
    <t>https://ebookcentral.proquest.com/lib/iuavit/detail.action?docID=3572439</t>
  </si>
  <si>
    <t>The Challenge of Minority Integration : Politics and Policies in the Nordic Nations</t>
  </si>
  <si>
    <t>Kraus, Peter A.;Kivisto, Peter</t>
  </si>
  <si>
    <t>DL41 -- .K738 2015eb</t>
  </si>
  <si>
    <t>Minorities -- Scandinavia.</t>
  </si>
  <si>
    <t>https://ebookcentral.proquest.com/lib/iuavit/detail.action?docID=3572440</t>
  </si>
  <si>
    <t>Mensch und Computer 2015 - Usability Professionals : Workshop</t>
  </si>
  <si>
    <t>Endmann, Anja;Fischer, Holger;Krökel, Malte</t>
  </si>
  <si>
    <t>QA76.9.H85U716 2015</t>
  </si>
  <si>
    <t>004.01/9</t>
  </si>
  <si>
    <t>https://ebookcentral.proquest.com/lib/iuavit/detail.action?docID=4001766</t>
  </si>
  <si>
    <t>Mensch und Computer 2015 - Workshopband</t>
  </si>
  <si>
    <t>Weisbecker, Anette;Burmester, Michael;Schmidt, Albrecht</t>
  </si>
  <si>
    <t>QA76.9.H85</t>
  </si>
  <si>
    <t>https://ebookcentral.proquest.com/lib/iuavit/detail.action?docID=4001767</t>
  </si>
  <si>
    <t>Mensch und Computer 2015 - Tagungsband</t>
  </si>
  <si>
    <t>Pielot, Martin;Diefenbach, Sarah;Henze, Niels</t>
  </si>
  <si>
    <t>https://ebookcentral.proquest.com/lib/iuavit/detail.action?docID=4001768</t>
  </si>
  <si>
    <t>Communication and Materiality : Written and Unwritten Communication in Pre-Modern Societies</t>
  </si>
  <si>
    <t>Enderwitz, Susanne;Sauer, Rebecca</t>
  </si>
  <si>
    <t>P92.M5.C666 2015eb</t>
  </si>
  <si>
    <t>Communication--Middle East--History--To 1500.</t>
  </si>
  <si>
    <t>https://ebookcentral.proquest.com/lib/iuavit/detail.action?docID=4002133</t>
  </si>
  <si>
    <t>Rating EFL Written Performance</t>
  </si>
  <si>
    <t xml:space="preserve">Bukta, Katalin </t>
  </si>
  <si>
    <t>PE1128.A2$bB85 2013</t>
  </si>
  <si>
    <t>English language--Study and teaching--Foreign speakers. ; English.</t>
  </si>
  <si>
    <t>https://ebookcentral.proquest.com/lib/iuavit/detail.action?docID=4002169</t>
  </si>
  <si>
    <t>Comparaisons, Raisons, Raisons D'État : Les Politiques de la République des Lettres Au Tournant du XVIIe Siècle</t>
  </si>
  <si>
    <t xml:space="preserve">Lefebvre, Armelle </t>
  </si>
  <si>
    <t>https://ebookcentral.proquest.com/lib/iuavit/detail.action?docID=4002241</t>
  </si>
  <si>
    <t>Der Munizipalsozialismus in Europa /le Socialisme Municipal en Europe</t>
  </si>
  <si>
    <t>Kühl, Uwe;Kühl, Uwe</t>
  </si>
  <si>
    <t>Business/Management; Political Science</t>
  </si>
  <si>
    <t>HD4644.A5.M865 2001eb</t>
  </si>
  <si>
    <t>Municipal ownership--Europe--History--Congresses.</t>
  </si>
  <si>
    <t>https://ebookcentral.proquest.com/lib/iuavit/detail.action?docID=4002338</t>
  </si>
  <si>
    <t>Die Gleichheit Vor Dem Gesetz Im Sinne des Art. 109 der Reichsverfassung. der Einfluß des Steuerrechts Auf Die Begriffsbildung des öffentlichen Rechts : Verhandlungen der Tagung der Vereinigung der Deutschen Staatsrechtslehrer Zu Münster I. W. Am 29. und 30. März 1926</t>
  </si>
  <si>
    <t>Kaufmann, Erich;Nawiasky, Hans;Hensel, Albert;Bühler, Ottmar;Bühler, Ottmar</t>
  </si>
  <si>
    <t>https://ebookcentral.proquest.com/lib/iuavit/detail.action?docID=4002798</t>
  </si>
  <si>
    <t>Bild - Raum - Handlung : Perspektiven der Archäologie</t>
  </si>
  <si>
    <t>Dally, Ortwin;Moraw, Susanne;Ziemssen, Hauke</t>
  </si>
  <si>
    <t>CC175.B553 2012eb</t>
  </si>
  <si>
    <t>Archaeology and art--Case studies.</t>
  </si>
  <si>
    <t>https://ebookcentral.proquest.com/lib/iuavit/detail.action?docID=4006785</t>
  </si>
  <si>
    <t>Spaces of Communication in Imperial Rome</t>
  </si>
  <si>
    <t>Mundt, Felix</t>
  </si>
  <si>
    <t>https://ebookcentral.proquest.com/lib/iuavit/detail.action?docID=4006786</t>
  </si>
  <si>
    <t>Imagining Human Rights</t>
  </si>
  <si>
    <t>Kaul, Susanne;Kim, David</t>
  </si>
  <si>
    <t>JC571 .I434 2015</t>
  </si>
  <si>
    <t>Human rights.</t>
  </si>
  <si>
    <t>https://ebookcentral.proquest.com/lib/iuavit/detail.action?docID=4006817</t>
  </si>
  <si>
    <t>Physik und Poetik : Produktionsästhetik und Werkgenese. Autorinnen und Autoren Im Dialog</t>
  </si>
  <si>
    <t>Heydenreich, Aura;Mecke, Klaus</t>
  </si>
  <si>
    <t>PT405.P439 2015</t>
  </si>
  <si>
    <t>830.9/36</t>
  </si>
  <si>
    <t>https://ebookcentral.proquest.com/lib/iuavit/detail.action?docID=4006855</t>
  </si>
  <si>
    <t>Totale Erziehung Für Den Totalen Krieg : Hitlerjugend und Nationalsozialistische Jugendpolitik</t>
  </si>
  <si>
    <t>Buddrus, Michael;Mehringer, Hartmut;Wengst, Udo;Buddrus, Michael</t>
  </si>
  <si>
    <t>DD253.5 .B83 2003</t>
  </si>
  <si>
    <t>943.086/40835</t>
  </si>
  <si>
    <t>Hitler-Jugend-History. ; World War, 1939-1945-Youth-Germany. ; Youth-Government policy-Germany-History-20th century. ; National socialism and education.</t>
  </si>
  <si>
    <t>https://ebookcentral.proquest.com/lib/iuavit/detail.action?docID=4008258</t>
  </si>
  <si>
    <t>Inventar der Befehle der Sowjetischen Militäradministration Mecklenburg(-Vorpommern) 1945-1949</t>
  </si>
  <si>
    <t>Brunner, Detlev;Brunner, Detlev;Brunner, Detlev;Brunner, Detlev;Brunner, Detlev</t>
  </si>
  <si>
    <t>DD801.M38 .I584 2003</t>
  </si>
  <si>
    <t>Mecklenburg-Vorpommern (Germany)-Politics and government-Congresses.</t>
  </si>
  <si>
    <t>https://ebookcentral.proquest.com/lib/iuavit/detail.action?docID=4008259</t>
  </si>
  <si>
    <t>Die Leistungsfähigkeit der Wissenschaft des Öffentlichen Rechts : Berichte und Diskussionen Auf der Tagung der Vereinigung der Deutschen Staatsrechtslehrer in Freiburg I. Br. Vom 3. Bis 6. Oktober 2007</t>
  </si>
  <si>
    <t xml:space="preserve">Hillgruber, Christian;Volkmann, Uwe;Nolte, Georg;Poscher, Ralf;et al., et;Et Al, Christian </t>
  </si>
  <si>
    <t>https://ebookcentral.proquest.com/lib/iuavit/detail.action?docID=4008734</t>
  </si>
  <si>
    <t>What Does Order Mean and What Orders Meaning? on the Structures That Constitute Meaning in Writing : Zu bedeutungskonstituierenden Ordnungsleistungen in Geschriebenem</t>
  </si>
  <si>
    <t>Haß, Christian David;Noller, Eva Marie;Haß, Christian David</t>
  </si>
  <si>
    <t>Literature; Social Science</t>
  </si>
  <si>
    <t>https://ebookcentral.proquest.com/lib/iuavit/detail.action?docID=4009290</t>
  </si>
  <si>
    <t>Integration Processes and Policies in Europe : Contexts, Levels and Actors</t>
  </si>
  <si>
    <t>Springer International Publishing AG</t>
  </si>
  <si>
    <t>Springer</t>
  </si>
  <si>
    <t>GarcÃ©s-MascareÃ±as, Blanca;Penninx, Rinus</t>
  </si>
  <si>
    <t>H1-970.9</t>
  </si>
  <si>
    <t>https://ebookcentral.proquest.com/lib/iuavit/detail.action?docID=4068092</t>
  </si>
  <si>
    <t>Akten Zur Auswärtigen Politik der Bundesrepublik Deutschland 1964</t>
  </si>
  <si>
    <t>Hölscher, Wolfgang;Kosthorst, Daniel;Hölscher, Wolfgang</t>
  </si>
  <si>
    <t>https://ebookcentral.proquest.com/lib/iuavit/detail.action?docID=4081643</t>
  </si>
  <si>
    <t>Patient Engagement : A Consumer-Centered Model to Innovate Healthcare</t>
  </si>
  <si>
    <t>Graffigna, Guendalina;Barello, Serena;Triberti, Stefano</t>
  </si>
  <si>
    <t>Health; Medicine; Social Science</t>
  </si>
  <si>
    <t>R727.42 .P385 2015</t>
  </si>
  <si>
    <t>Patient participation. ; Health services administration.</t>
  </si>
  <si>
    <t>https://ebookcentral.proquest.com/lib/iuavit/detail.action?docID=4101871</t>
  </si>
  <si>
    <t>Architectural Journal 1960-1975</t>
  </si>
  <si>
    <t>Krier, Rob</t>
  </si>
  <si>
    <t>NA1174.3.K75 .K754 2015</t>
  </si>
  <si>
    <t>Krier, Rob-Aesthetics. ; Krier, Rob. ; Architecture, Modern-20th century. ; Architects-Luxembourg-Biography.</t>
  </si>
  <si>
    <t>https://ebookcentral.proquest.com/lib/iuavit/detail.action?docID=4179732</t>
  </si>
  <si>
    <t>The Archaeology of Death in Post-Medieval Europe</t>
  </si>
  <si>
    <t>Tarlow, Sarah</t>
  </si>
  <si>
    <t>GT3242</t>
  </si>
  <si>
    <t>Burial--Europe. ; Funeral rites and ceremonies--Europe. ; Burial.</t>
  </si>
  <si>
    <t>https://ebookcentral.proquest.com/lib/iuavit/detail.action?docID=4179733</t>
  </si>
  <si>
    <t>Society, Law, and Culture in the Middle East : Modernities in the Making</t>
  </si>
  <si>
    <t>Ze'evi, Dror;Toledano, Ehud R.</t>
  </si>
  <si>
    <t>DR486 .S635 2015</t>
  </si>
  <si>
    <t>Turkey-History-Ottoman Empire, 1288-1918. ; Turkey-Social conditions-1288-1918.</t>
  </si>
  <si>
    <t>https://ebookcentral.proquest.com/lib/iuavit/detail.action?docID=4179734</t>
  </si>
  <si>
    <t>Open Source Archaeology : Ethics and Practice</t>
  </si>
  <si>
    <t>Wilson, Andrew T.;Edwards, Ben</t>
  </si>
  <si>
    <t>Computer Science/IT; History</t>
  </si>
  <si>
    <t>QA76.76.S46 .O646 2015</t>
  </si>
  <si>
    <t>Open source software. ; Archaeology-Information resources. ; Open access publishing.</t>
  </si>
  <si>
    <t>https://ebookcentral.proquest.com/lib/iuavit/detail.action?docID=4179735</t>
  </si>
  <si>
    <t>50 Jahre Aktiengesetz</t>
  </si>
  <si>
    <t>Fleischer, Holger;Koch, Jens;Kropff, Bruno;Lutter, Marcus</t>
  </si>
  <si>
    <t>K1315 -- .F864 2016eb</t>
  </si>
  <si>
    <t>Corporation law.</t>
  </si>
  <si>
    <t>https://ebookcentral.proquest.com/lib/iuavit/detail.action?docID=4179759</t>
  </si>
  <si>
    <t>Wikipedia und Geschichtswissenschaft</t>
  </si>
  <si>
    <t>Wozniak, Thomas;Nemitz, Jürgen;Rohwedder, Uwe</t>
  </si>
  <si>
    <t>D16.W555 2015eb</t>
  </si>
  <si>
    <t>History--Methodology.</t>
  </si>
  <si>
    <t>https://ebookcentral.proquest.com/lib/iuavit/detail.action?docID=4179767</t>
  </si>
  <si>
    <t>Ageing in Europe - Supporting Policies for an Inclusive Society</t>
  </si>
  <si>
    <t>Börsch-Supan, Axel;Kneip, Thorsten;Litwin, Howard;Myck, Michal;Weber, Guglielmo</t>
  </si>
  <si>
    <t>HQ1064.E8 .A345 2015</t>
  </si>
  <si>
    <t>Aging-Europe. ; Aging-Social aspects-Europe. ; Europe-Social policy-21st century.</t>
  </si>
  <si>
    <t>https://ebookcentral.proquest.com/lib/iuavit/detail.action?docID=4179778</t>
  </si>
  <si>
    <t>The Post-Human Society : Elemental Contours of the Aesthetic Economy of the United States</t>
  </si>
  <si>
    <t>Kanth, Rajani</t>
  </si>
  <si>
    <t>E169.12 .K368 2015</t>
  </si>
  <si>
    <t>306.0973/0905</t>
  </si>
  <si>
    <t>United States-Civilization-21st century. ; Aesthetics-Economic aspects-United States-History-21st century. ; Philosophical anthropology-United States. ; Culture-Economic aspects-United States-History-21st century. ; Values-United States. ; Americans-United States-Social life and customs-21st century. ; United States-Social life and customs-21st century. ; Alienation (Social psychology)-United States-History. ; United States-Economic conditions-21st century.</t>
  </si>
  <si>
    <t>https://ebookcentral.proquest.com/lib/iuavit/detail.action?docID=4179784</t>
  </si>
  <si>
    <t>Teaching Political Science to Undergraduates : Active Pedagogy for the Microchip Mind</t>
  </si>
  <si>
    <t>Paquette, Laure</t>
  </si>
  <si>
    <t>LB2342.75</t>
  </si>
  <si>
    <t>Political science--Study and teaching (Higher) ; Telecommunication in higher education.</t>
  </si>
  <si>
    <t>https://ebookcentral.proquest.com/lib/iuavit/detail.action?docID=4179793</t>
  </si>
  <si>
    <t>Simplifying Complexity : Rhetoric and the Social Politics of Dealing with Ignorance</t>
  </si>
  <si>
    <t>Yoos, George E.</t>
  </si>
  <si>
    <t>P128.C664</t>
  </si>
  <si>
    <t>Communication in science. ; Rhetoric. ; Communication of technical information.</t>
  </si>
  <si>
    <t>https://ebookcentral.proquest.com/lib/iuavit/detail.action?docID=4179794</t>
  </si>
  <si>
    <t>Microwave and Radio-Frequency Technologies in Agriculture : An Introduction for Agriculturalists and Engineers</t>
  </si>
  <si>
    <t>Brodie, Graham;Jacob, Mohan V.;Farrell, Peter</t>
  </si>
  <si>
    <t>Agriculture; Economics; Business/Management</t>
  </si>
  <si>
    <t>S494.5.I5 .B763 2015</t>
  </si>
  <si>
    <t>Agricultural innovations. ; Microwaves-Industrial applications.</t>
  </si>
  <si>
    <t>https://ebookcentral.proquest.com/lib/iuavit/detail.action?docID=4179795</t>
  </si>
  <si>
    <t>A Peep at the Blacks' : A History of Tourism at Coranderrk Aboriginal Station, 1863-1924</t>
  </si>
  <si>
    <t>Economics; History</t>
  </si>
  <si>
    <t>DU102</t>
  </si>
  <si>
    <t>Aboriginal Australians. ; Tourism.</t>
  </si>
  <si>
    <t>https://ebookcentral.proquest.com/lib/iuavit/detail.action?docID=4179796</t>
  </si>
  <si>
    <t>Mobility and Biography</t>
  </si>
  <si>
    <t>Panter, Sarah</t>
  </si>
  <si>
    <t>HN380.Z9 .M635 2016</t>
  </si>
  <si>
    <t>Social mobility-Europe.</t>
  </si>
  <si>
    <t>https://ebookcentral.proquest.com/lib/iuavit/detail.action?docID=4191088</t>
  </si>
  <si>
    <t>The Masorah of Elijah Ha-Naqdan : An Edition of Ashkenazic Micrographical Notes</t>
  </si>
  <si>
    <t>Attia, Élodie</t>
  </si>
  <si>
    <t>BS718 .M376 2015</t>
  </si>
  <si>
    <t>221.4/4</t>
  </si>
  <si>
    <t>Elijah ben Berechiah,-ha-Naqdan,-active 13th century-Knowledge-Masorah. ; Masorah.</t>
  </si>
  <si>
    <t>https://ebookcentral.proquest.com/lib/iuavit/detail.action?docID=4230646</t>
  </si>
  <si>
    <t>Ein Sklavenball. Pompeji</t>
  </si>
  <si>
    <t>Horváth, Ödön von;Vejvar, Martin</t>
  </si>
  <si>
    <t>PT2617.O865.H678 2015eb</t>
  </si>
  <si>
    <t>https://ebookcentral.proquest.com/lib/iuavit/detail.action?docID=4230873</t>
  </si>
  <si>
    <t>Biological Invasions in Changing Ecosystems : Vectors, Ecological Impacts, Management and Predictions</t>
  </si>
  <si>
    <t>Canning-Clode, João</t>
  </si>
  <si>
    <t>Science; Health; Science: Biology/Natural History; Social Science</t>
  </si>
  <si>
    <t>RA441</t>
  </si>
  <si>
    <t>World health. ; Medical policy. ; Public health.</t>
  </si>
  <si>
    <t>https://ebookcentral.proquest.com/lib/iuavit/detail.action?docID=4332907</t>
  </si>
  <si>
    <t>The Well-Being of Children : Philosophical and Social Scientific Approaches</t>
  </si>
  <si>
    <t>Schweiger, Gottfried;Graf, Gunter</t>
  </si>
  <si>
    <t>BF575.G7</t>
  </si>
  <si>
    <t>Grief. ; Death--Attitudes. ; Attitude to Death.</t>
  </si>
  <si>
    <t>https://ebookcentral.proquest.com/lib/iuavit/detail.action?docID=4332915</t>
  </si>
  <si>
    <t>Sustainability Indicators in Practice</t>
  </si>
  <si>
    <t>Latawiec, Agnieszka;Agol, Dorice</t>
  </si>
  <si>
    <t>Business/Management; Medicine; Economics</t>
  </si>
  <si>
    <t>RG631</t>
  </si>
  <si>
    <t>Perinatal death. ; Perinatal death--Psychological aspects. ; Bereavement.</t>
  </si>
  <si>
    <t>https://ebookcentral.proquest.com/lib/iuavit/detail.action?docID=4332916</t>
  </si>
  <si>
    <t>A COPD Primer</t>
  </si>
  <si>
    <t>Panos, Ralph;Eschenbacher, William</t>
  </si>
  <si>
    <t>RC776.O3P36 2015</t>
  </si>
  <si>
    <t>Lungs-Diseases, Obstructive.</t>
  </si>
  <si>
    <t>https://ebookcentral.proquest.com/lib/iuavit/detail.action?docID=4332917</t>
  </si>
  <si>
    <t>Inside War : Understanding the Evolution of Organised Violence in the Global Era</t>
  </si>
  <si>
    <t>Armao, Fabio</t>
  </si>
  <si>
    <t>HV3181 .S6145 2016</t>
  </si>
  <si>
    <t>Social work with African Americans. ; Urban African Americans--Services for. ; Urban African Americans--Social conditions.</t>
  </si>
  <si>
    <t>https://ebookcentral.proquest.com/lib/iuavit/detail.action?docID=4332918</t>
  </si>
  <si>
    <t>Fractional Dynamics</t>
  </si>
  <si>
    <t>Cattani, Carlo;Srivastava, Hari M.;Yang, Xiao-Jun</t>
  </si>
  <si>
    <t>QA314 .F733 2015</t>
  </si>
  <si>
    <t>Fractional calculus.</t>
  </si>
  <si>
    <t>https://ebookcentral.proquest.com/lib/iuavit/detail.action?docID=4332919</t>
  </si>
  <si>
    <t>The Poetry of du Fu</t>
  </si>
  <si>
    <t>Owen, Stephen;Warner, Ding Xiang;Kroll, Paul W.</t>
  </si>
  <si>
    <t>Medicine; Literature; Fiction</t>
  </si>
  <si>
    <t>RJ486</t>
  </si>
  <si>
    <t>895.1/13</t>
  </si>
  <si>
    <t>Pediatric neurology--Diagnosis. ; Neurophysiology. ; Nervous system--Diseases--Diagnosis.</t>
  </si>
  <si>
    <t>https://ebookcentral.proquest.com/lib/iuavit/detail.action?docID=4338415</t>
  </si>
  <si>
    <t>Logik : Wiener Logikkolleg 1894/95</t>
  </si>
  <si>
    <t>Twardowski, Kazimierz;Betti, Arianna;Raspa, Venanzio</t>
  </si>
  <si>
    <t>BC73.T83 2016</t>
  </si>
  <si>
    <t>Logic.</t>
  </si>
  <si>
    <t>https://ebookcentral.proquest.com/lib/iuavit/detail.action?docID=4338432</t>
  </si>
  <si>
    <t>Quarks and Letters : Naturwissenschaften in der Literatur und Kultur der Gegenwart</t>
  </si>
  <si>
    <t>PN55.Q84 2015</t>
  </si>
  <si>
    <t>809/.9336</t>
  </si>
  <si>
    <t>https://ebookcentral.proquest.com/lib/iuavit/detail.action?docID=4338464</t>
  </si>
  <si>
    <t>Das Mönchtum in der Religionspolitik Kaiser Justinians I. : Die Engel des Himmels und der Stellvertreter Gottes Auf Erden</t>
  </si>
  <si>
    <t>Hasse-Ungeheuer, Alexandra</t>
  </si>
  <si>
    <t>Religion; History</t>
  </si>
  <si>
    <t>DF572.H37 2016</t>
  </si>
  <si>
    <t>271.009495/09021</t>
  </si>
  <si>
    <t>Byzantine Empire--Politics and government--527-1081.</t>
  </si>
  <si>
    <t>https://ebookcentral.proquest.com/lib/iuavit/detail.action?docID=4338470</t>
  </si>
  <si>
    <t>Foundations for Moral Relativism : Second Expanded Edition</t>
  </si>
  <si>
    <t>https://ebookcentral.proquest.com/lib/iuavit/detail.action?docID=4340047</t>
  </si>
  <si>
    <t>Tyneside Neighbourhoods : Deprivation, Social Life and Social Behaviour in One British City</t>
  </si>
  <si>
    <t>Nettle, Daniel</t>
  </si>
  <si>
    <t>https://ebookcentral.proquest.com/lib/iuavit/detail.action?docID=4340048</t>
  </si>
  <si>
    <t>Forests and Food : Addressing Hunger and Nutrition Across Sustainable Landscapes</t>
  </si>
  <si>
    <t>Vira, Bhaskar;Wildburger, Christoph;Mansourian, Stephanie</t>
  </si>
  <si>
    <t>Environmental Studies; Health</t>
  </si>
  <si>
    <t>https://ebookcentral.proquest.com/lib/iuavit/detail.action?docID=4340049</t>
  </si>
  <si>
    <t>Tolerance : The Beacon of the Enlightenment</t>
  </si>
  <si>
    <t>Warman, Caroline</t>
  </si>
  <si>
    <t>https://ebookcentral.proquest.com/lib/iuavit/detail.action?docID=4340050</t>
  </si>
  <si>
    <t>Biomedical Chemistry : Current Trends and Developments</t>
  </si>
  <si>
    <t>Vale, Nuno</t>
  </si>
  <si>
    <t>RS403.B5325 2015</t>
  </si>
  <si>
    <t>Biomolecules--Analysis. ; Stable isotope tracers.</t>
  </si>
  <si>
    <t>https://ebookcentral.proquest.com/lib/iuavit/detail.action?docID=4355749</t>
  </si>
  <si>
    <t>Beyond Price : Essays on Birth and Death</t>
  </si>
  <si>
    <t>Medicine; Health; Philosophy</t>
  </si>
  <si>
    <t>https://ebookcentral.proquest.com/lib/iuavit/detail.action?docID=4386693</t>
  </si>
  <si>
    <t>Vertical Readings in Dante's Comedy : Volume 1</t>
  </si>
  <si>
    <t>Corbett, George;Webb, Heather</t>
  </si>
  <si>
    <t>https://ebookcentral.proquest.com/lib/iuavit/detail.action?docID=4386694</t>
  </si>
  <si>
    <t>A Musicology of Performance : Theory and Method Based on Bach's Solos for Violin</t>
  </si>
  <si>
    <t>Fabian, Dorottya</t>
  </si>
  <si>
    <t>https://ebookcentral.proquest.com/lib/iuavit/detail.action?docID=4386695</t>
  </si>
  <si>
    <t>Mr. Emerson's Revolution</t>
  </si>
  <si>
    <t>McClure Mudge, Jean</t>
  </si>
  <si>
    <t>https://ebookcentral.proquest.com/lib/iuavit/detail.action?docID=4386696</t>
  </si>
  <si>
    <t>Tellings and Texts : Music, Literature and Performance in North India</t>
  </si>
  <si>
    <t>Orsini, Francesca;Butler Schofield, Katherine</t>
  </si>
  <si>
    <t>Social Science; Literature; Fine Arts</t>
  </si>
  <si>
    <t>https://ebookcentral.proquest.com/lib/iuavit/detail.action?docID=4386697</t>
  </si>
  <si>
    <t>Cornelius Nepos, Life of Hannibal : Latin Text, Notes, Maps, Illustrations and Vocabulary</t>
  </si>
  <si>
    <t>Mulligan, Bret</t>
  </si>
  <si>
    <t>History; Language/Linguistics; Literature</t>
  </si>
  <si>
    <t>https://ebookcentral.proquest.com/lib/iuavit/detail.action?docID=4386698</t>
  </si>
  <si>
    <t>Advanced Problems in Mathematics : Preparing for University</t>
  </si>
  <si>
    <t>Siklos, Stephen</t>
  </si>
  <si>
    <t>QA11.S555 2016eb</t>
  </si>
  <si>
    <t>Mathematics--Study and teaching (Higher)</t>
  </si>
  <si>
    <t>https://ebookcentral.proquest.com/lib/iuavit/detail.action?docID=4391547</t>
  </si>
  <si>
    <t>Metaethics from a First Person Standpoint : An Introduction to Moral Philosophy</t>
  </si>
  <si>
    <t>Wilson, Catherine</t>
  </si>
  <si>
    <t>https://ebookcentral.proquest.com/lib/iuavit/detail.action?docID=4391548</t>
  </si>
  <si>
    <t>The Life of August Wilhelm Schlegel, Cosmopolitan of Art and Poetry</t>
  </si>
  <si>
    <t>Paulin, Roger</t>
  </si>
  <si>
    <t>https://ebookcentral.proquest.com/lib/iuavit/detail.action?docID=4391550</t>
  </si>
  <si>
    <t>Cooperation and Conflict the Nordic Way : Work, Welfare, and Institutional Change in Scandinavia</t>
  </si>
  <si>
    <t>Engelstad, Fredrik;Hagelund, Anniken</t>
  </si>
  <si>
    <t>HN540.A8.C667 2015eb</t>
  </si>
  <si>
    <t>Working class--Scandinavia.</t>
  </si>
  <si>
    <t>https://ebookcentral.proquest.com/lib/iuavit/detail.action?docID=4401811</t>
  </si>
  <si>
    <t>Translating Chinese Tradition and Teaching Tangut Culture : Manuscripts and Printed Books from Khara-Khoto</t>
  </si>
  <si>
    <t>Galambos, Imre</t>
  </si>
  <si>
    <t>Language/Linguistics; Literature</t>
  </si>
  <si>
    <t>PL3801.S5$bG353 2015</t>
  </si>
  <si>
    <t>895/.4</t>
  </si>
  <si>
    <t>China--History--Xi Xia dynasty, 1038-1227. ; Tangut language. ; Khara Khoto (Extinct city)</t>
  </si>
  <si>
    <t>https://ebookcentral.proquest.com/lib/iuavit/detail.action?docID=4401815</t>
  </si>
  <si>
    <t>A Century of Violence in a Red City : Popular Struggle, Counterinsurgency, and Human Rights in Colombia</t>
  </si>
  <si>
    <t>Duke University Press</t>
  </si>
  <si>
    <t>Gill, Lesley</t>
  </si>
  <si>
    <t>JC599</t>
  </si>
  <si>
    <t>986.1/25</t>
  </si>
  <si>
    <t>Labor disputes - Colombia - Barrancabermeja - History - 20th century</t>
  </si>
  <si>
    <t>https://ebookcentral.proquest.com/lib/iuavit/detail.action?docID=4412751</t>
  </si>
  <si>
    <t>Das Siebenstromland Zwischen Bronze- und Früheisenzeit : Eine Regionalstudie</t>
  </si>
  <si>
    <t>Gass, Anton;Fassbinder, Jörg W. E.;Gresky, Julia</t>
  </si>
  <si>
    <t>GN778.32.K3G37 2016</t>
  </si>
  <si>
    <t>Bronze age--Kazakhstan.</t>
  </si>
  <si>
    <t>https://ebookcentral.proquest.com/lib/iuavit/detail.action?docID=4426419</t>
  </si>
  <si>
    <t>The Collapse of Time : The Martyrdom of Diego Ortiz (1571) by Antonio de la Calancha [1638]</t>
  </si>
  <si>
    <t>Redden, Andrew</t>
  </si>
  <si>
    <t>BX2914</t>
  </si>
  <si>
    <t>https://ebookcentral.proquest.com/lib/iuavit/detail.action?docID=4426458</t>
  </si>
  <si>
    <t>Insight into Theoretical and Applied Informatics : Introduction to Information Technologies and Computer Science</t>
  </si>
  <si>
    <t>Yatsko, Andrzej;Suslow, Walery</t>
  </si>
  <si>
    <t>QA76.Y387 2015eb</t>
  </si>
  <si>
    <t>Computer science.</t>
  </si>
  <si>
    <t>https://ebookcentral.proquest.com/lib/iuavit/detail.action?docID=4426459</t>
  </si>
  <si>
    <t>Formulation in Action : Applying Psychological Theory to Clinical Practice</t>
  </si>
  <si>
    <t>Dawson, David;Moghaddam, Nima</t>
  </si>
  <si>
    <t>RC467.95</t>
  </si>
  <si>
    <t>https://ebookcentral.proquest.com/lib/iuavit/detail.action?docID=4426460</t>
  </si>
  <si>
    <t>Frieden Schaffen und Sich Verteidigen Im Spätmittelalter : Faire la Paix et Se défendre à la Fin du Moyen Âge</t>
  </si>
  <si>
    <t>Naegle, Gisela</t>
  </si>
  <si>
    <t>https://ebookcentral.proquest.com/lib/iuavit/detail.action?docID=4428572</t>
  </si>
  <si>
    <t>Spätmittelalterliche Heroldskompendien : Referenzen Adeliger Wissenskultur in Zeiten Gesellschaftlichen Wandels (Frankreich und Burgund, 15. Jahrhundert)</t>
  </si>
  <si>
    <t>https://ebookcentral.proquest.com/lib/iuavit/detail.action?docID=4428573</t>
  </si>
  <si>
    <t>Art Beyond Borders : Artistic Exchange in Communist Europe (1945-1989)</t>
  </si>
  <si>
    <t>Bazin, Jérôme;Glatigny, Pascal Dubourg;Piotrowski, Piotr</t>
  </si>
  <si>
    <t>N72.S6 -- .A78 2016eb</t>
  </si>
  <si>
    <t>Art and society--Communist countries.</t>
  </si>
  <si>
    <t>https://ebookcentral.proquest.com/lib/iuavit/detail.action?docID=4443132</t>
  </si>
  <si>
    <t>A Contemporary History of Exclusion : The Roma Issue in Hungary from 1945 To 2015</t>
  </si>
  <si>
    <t>Majtényi, Balázs;Majtényi, György</t>
  </si>
  <si>
    <t>DX223 -- .M358 2016eb</t>
  </si>
  <si>
    <t>Minorities - Government policy - Hungary</t>
  </si>
  <si>
    <t>https://ebookcentral.proquest.com/lib/iuavit/detail.action?docID=4443134</t>
  </si>
  <si>
    <t>Remembrance, History, and Justice : Coming to Terms with Traumatic Pasts in Democratic Societies</t>
  </si>
  <si>
    <t>Tismaneanu, Vladimir;Iacob, Bogdan C.</t>
  </si>
  <si>
    <t>DJK51 -- .R464 2015eb</t>
  </si>
  <si>
    <t>Europe, Eastern--Politics and government--1989-</t>
  </si>
  <si>
    <t>https://ebookcentral.proquest.com/lib/iuavit/detail.action?docID=4443140</t>
  </si>
  <si>
    <t>Das Berliner TransitionsProgramm : Sektorübergreifendes Strukturprogramm Zur Transition in Die Erwachsenenmedizin</t>
  </si>
  <si>
    <t>Findorff, Jana;Müther, Silvia;Moers, Arpad;Nolting, Hans-Dieter;Burger, Walter</t>
  </si>
  <si>
    <t>RJ380.B47 2016</t>
  </si>
  <si>
    <t>618.92/04</t>
  </si>
  <si>
    <t>https://ebookcentral.proquest.com/lib/iuavit/detail.action?docID=4451852</t>
  </si>
  <si>
    <t>Variation Im Europäischen Kontrast : Untersuchungen Zum Satzanfang Im Deutschen, Französischen, Norwegischen, Polnischen und Ungarischen</t>
  </si>
  <si>
    <t>Dalmas, Martine;Fabricius-Hansen, Cathrine;Schwinn, Horst</t>
  </si>
  <si>
    <t>P380.V375 2016eb</t>
  </si>
  <si>
    <t>German language.</t>
  </si>
  <si>
    <t>https://ebookcentral.proquest.com/lib/iuavit/detail.action?docID=4451854</t>
  </si>
  <si>
    <t>Die Jugend des Dionysos : Die Ampelos-Episode in Den Dionysiaka des Nonnos Von Panopolis</t>
  </si>
  <si>
    <t>Kröll, Nicole</t>
  </si>
  <si>
    <t>PA4251.A33.K75 2016eb</t>
  </si>
  <si>
    <t>https://ebookcentral.proquest.com/lib/iuavit/detail.action?docID=4508516</t>
  </si>
  <si>
    <t>Melchizedek Passages in the Bible : A Case Study for Inner-Biblical and Inter-Biblical Interpretation</t>
  </si>
  <si>
    <t>Alan KamYau, Chan</t>
  </si>
  <si>
    <t>BS580.M4 .C436 2016</t>
  </si>
  <si>
    <t>Melchizedek,-King of Salem.</t>
  </si>
  <si>
    <t>https://ebookcentral.proquest.com/lib/iuavit/detail.action?docID=4508528</t>
  </si>
  <si>
    <t>Religion As a Philosophical Matter : Concerns about Truth, Name, and Habitation</t>
  </si>
  <si>
    <t>Albinus, Lars</t>
  </si>
  <si>
    <t>BL51.A465 2016eb</t>
  </si>
  <si>
    <t>Religion--Philosophy.</t>
  </si>
  <si>
    <t>https://ebookcentral.proquest.com/lib/iuavit/detail.action?docID=4508546</t>
  </si>
  <si>
    <t>The Eurasian Triangle : Russia, the Caucasus and Japan, 1904-1945</t>
  </si>
  <si>
    <t>Kuromiya, Hiroaki;Mamoulia, Georges</t>
  </si>
  <si>
    <t>DS517 .K876 2016</t>
  </si>
  <si>
    <t>Russo-Japanese War, 1904-1905. ; Eastern question (Far East) ; World War, 1914-1918-Campaigns-Eastern Front. ; World War, 1939-1945-Japan.</t>
  </si>
  <si>
    <t>https://ebookcentral.proquest.com/lib/iuavit/detail.action?docID=4508547</t>
  </si>
  <si>
    <t>Teaching Mathematics at Secondary Level</t>
  </si>
  <si>
    <t>Gardiner, Tony</t>
  </si>
  <si>
    <t>https://ebookcentral.proquest.com/lib/iuavit/detail.action?docID=4512191</t>
  </si>
  <si>
    <t>Knowledge and the Norm of Assertion : An Essay in Philosophical Science</t>
  </si>
  <si>
    <t>Turri, John</t>
  </si>
  <si>
    <t>https://ebookcentral.proquest.com/lib/iuavit/detail.action?docID=4512192</t>
  </si>
  <si>
    <t>The Universal Declaration of Human Rights in the 21st Century : A Living Document in a Changing World</t>
  </si>
  <si>
    <t>Brown, Gordon</t>
  </si>
  <si>
    <t>https://ebookcentral.proquest.com/lib/iuavit/detail.action?docID=4512193</t>
  </si>
  <si>
    <t>Variance in Arabic Manuscripts : Arabic Didactic Poems from the Eleventh to the Seventeenth Centuries - Analysis of Textual Variance and Its Control in the Manuscripts</t>
  </si>
  <si>
    <t>Sobieroj, Florian</t>
  </si>
  <si>
    <t>PJ7553.S635 2016eb</t>
  </si>
  <si>
    <t>892.7/13409</t>
  </si>
  <si>
    <t>Arabic poetry--750-1258--History and criticism--Criticism, Textual.</t>
  </si>
  <si>
    <t>https://ebookcentral.proquest.com/lib/iuavit/detail.action?docID=4533910</t>
  </si>
  <si>
    <t>Innover Avec les Acteurs du Monde Rural : La Recherche-Action en Partenariat</t>
  </si>
  <si>
    <t>Faure, Guy;Gasselin, Pierre;Triomphe, Bernard;Hocdé, Henri;Temple, Ludovic</t>
  </si>
  <si>
    <t>Economics; Business/Management; Agriculture</t>
  </si>
  <si>
    <t>HD1417 -- .I566 2010eb</t>
  </si>
  <si>
    <t>Agricultural development projects--Developing countries.</t>
  </si>
  <si>
    <t>https://ebookcentral.proquest.com/lib/iuavit/detail.action?docID=4539813</t>
  </si>
  <si>
    <t>Le Cotonnier</t>
  </si>
  <si>
    <t>Crétenet, Michel;Gourlot, Jean-Paul</t>
  </si>
  <si>
    <t>HD9087.A2.C686 2016</t>
  </si>
  <si>
    <t>Cotton trade--Africa.</t>
  </si>
  <si>
    <t>https://ebookcentral.proquest.com/lib/iuavit/detail.action?docID=4539833</t>
  </si>
  <si>
    <t>Émergence de Maladies Infectieuses : Risques et Enjeux de Société</t>
  </si>
  <si>
    <t>Morand, Serge;Figuié, Muriel</t>
  </si>
  <si>
    <t>RA643 -- .E447 2016eb</t>
  </si>
  <si>
    <t>Communicable diseases--Prevention.</t>
  </si>
  <si>
    <t>https://ebookcentral.proquest.com/lib/iuavit/detail.action?docID=4539843</t>
  </si>
  <si>
    <t>Faune Sauvage, Biodiversité et Santé, Quels Défis ?</t>
  </si>
  <si>
    <t>Morand, Serge;Moutou, François;Richomme, Céline</t>
  </si>
  <si>
    <t>Medicine; Health; Social Science</t>
  </si>
  <si>
    <t>RA565 -- .F386 2014eb</t>
  </si>
  <si>
    <t>Environmental health.</t>
  </si>
  <si>
    <t>https://ebookcentral.proquest.com/lib/iuavit/detail.action?docID=4539904</t>
  </si>
  <si>
    <t>Galeni in Hippocratis Epidemiarum Librum II Commentariorum I-III Versio Arabica</t>
  </si>
  <si>
    <t>Vagelpohl, Uwe;Swain, Simon</t>
  </si>
  <si>
    <t>https://ebookcentral.proquest.com/lib/iuavit/detail.action?docID=4556863</t>
  </si>
  <si>
    <t>Galeni in Hippocratis Epidemiarum Librum II Commentariorum IV-VI Versio Arabica et Indices</t>
  </si>
  <si>
    <t>Medicine; History</t>
  </si>
  <si>
    <t>https://ebookcentral.proquest.com/lib/iuavit/detail.action?docID=4556866</t>
  </si>
  <si>
    <t>La Conservation des Grains Après Récolte</t>
  </si>
  <si>
    <t>Cruz, Jean-François;Hounhouigan, D. Joseph;Fleurat-Lessard, Francis;Troude, Francis</t>
  </si>
  <si>
    <t>Engineering: General; Engineering; Engineering: Chemical</t>
  </si>
  <si>
    <t>TP248.27.P55 -- .C789 2016eb</t>
  </si>
  <si>
    <t>Grain--Biotechnology.</t>
  </si>
  <si>
    <t>https://ebookcentral.proquest.com/lib/iuavit/detail.action?docID=4573567</t>
  </si>
  <si>
    <t>Ovid, Amores (Book 1)</t>
  </si>
  <si>
    <t>Turpin, William</t>
  </si>
  <si>
    <t>https://ebookcentral.proquest.com/lib/iuavit/detail.action?docID=4592473</t>
  </si>
  <si>
    <t>Verdi in Victorian London</t>
  </si>
  <si>
    <t>Zicari, Massimo</t>
  </si>
  <si>
    <t>https://ebookcentral.proquest.com/lib/iuavit/detail.action?docID=4592474</t>
  </si>
  <si>
    <t>Intellectual Property and Public Health in the Developing World</t>
  </si>
  <si>
    <t>Azam, Monirul</t>
  </si>
  <si>
    <t>Law; Medicine</t>
  </si>
  <si>
    <t>https://ebookcentral.proquest.com/lib/iuavit/detail.action?docID=4592475</t>
  </si>
  <si>
    <t>The Environment in the Age of the Internet : Activists, Communication, and the Digital Landscape</t>
  </si>
  <si>
    <t>Graf, Heike</t>
  </si>
  <si>
    <t>Social Science; Environmental Studies</t>
  </si>
  <si>
    <t>https://ebookcentral.proquest.com/lib/iuavit/detail.action?docID=4592476</t>
  </si>
  <si>
    <t>Denis Diderot 'Rameau's Nephew' - 'le Neveu de Rameau' : A Multi-Media Bilingual Edition</t>
  </si>
  <si>
    <t>Diderot, Denis;Hobson, Marian;Tunstall, Kate E.;Warman, Caroline;Duc, Pascal</t>
  </si>
  <si>
    <t>Literature; Fine Arts; Philosophy</t>
  </si>
  <si>
    <t>https://ebookcentral.proquest.com/lib/iuavit/detail.action?docID=4592478</t>
  </si>
  <si>
    <t>Metatexte : Erzählungen Von Schrifttragenden Artefakten in der Alttestamentlichen und Mittelalterlichen Literatur</t>
  </si>
  <si>
    <t>Focken, Friedrich-Emanuel;Ott, Michael R.</t>
  </si>
  <si>
    <t>PR226.M483 2016eb</t>
  </si>
  <si>
    <t>Christian literature, English (Old)--History and criticism.</t>
  </si>
  <si>
    <t>https://ebookcentral.proquest.com/lib/iuavit/detail.action?docID=4595498</t>
  </si>
  <si>
    <t>Tracing Manuscripts in Time and Space Through Paratexts : Perspectives from Paratexts</t>
  </si>
  <si>
    <t>Ciotti, Giovanni;Lin, Hang</t>
  </si>
  <si>
    <t>Literature; General Works/Reference</t>
  </si>
  <si>
    <t>PN56.S667.T733 2016eb</t>
  </si>
  <si>
    <t>Space and time in literature.</t>
  </si>
  <si>
    <t>https://ebookcentral.proquest.com/lib/iuavit/detail.action?docID=4618888</t>
  </si>
  <si>
    <t>Women in the Ancient near East</t>
  </si>
  <si>
    <t>Stol, Marten</t>
  </si>
  <si>
    <t>HQ1127</t>
  </si>
  <si>
    <t>Women - Iraq - Babylonia</t>
  </si>
  <si>
    <t>https://ebookcentral.proquest.com/lib/iuavit/detail.action?docID=4644580</t>
  </si>
  <si>
    <t>Germanistik in Wien : Das Seminar Für Deutsche Philologie und Seine Privatdozentinnen (1897-1933)</t>
  </si>
  <si>
    <t>Grabenweger, Elisabeth</t>
  </si>
  <si>
    <t>PF3025.G733 2016eb</t>
  </si>
  <si>
    <t>German philology.</t>
  </si>
  <si>
    <t>https://ebookcentral.proquest.com/lib/iuavit/detail.action?docID=4644635</t>
  </si>
  <si>
    <t>Nouvelles Raisons d'agir des Acteurs de la Pêche et de L'agriculture</t>
  </si>
  <si>
    <t>Merri, Maryvonne;Képhaliacos, Charilaos</t>
  </si>
  <si>
    <t>Social Science; Agriculture</t>
  </si>
  <si>
    <t>https://ebookcentral.proquest.com/lib/iuavit/detail.action?docID=4659544</t>
  </si>
  <si>
    <t>Facets of Facebook : Use and Users</t>
  </si>
  <si>
    <t>Knautz, Kathrin;Baran, Katsiaryna S.</t>
  </si>
  <si>
    <t>HM743.F33F33 2016</t>
  </si>
  <si>
    <t>Online social networks. ; Internet users.</t>
  </si>
  <si>
    <t>https://ebookcentral.proquest.com/lib/iuavit/detail.action?docID=4691382</t>
  </si>
  <si>
    <t>Genre und Gemeinsinn : Hollywood Zwischen Krieg und Demokratie</t>
  </si>
  <si>
    <t>Kappelhoff, Hermann</t>
  </si>
  <si>
    <t>Fine Arts; Psychology; Political Science</t>
  </si>
  <si>
    <t>https://ebookcentral.proquest.com/lib/iuavit/detail.action?docID=4691414</t>
  </si>
  <si>
    <t>Theatre and War : Notes from the Field</t>
  </si>
  <si>
    <t>Dinesh, Nandita</t>
  </si>
  <si>
    <t>Social Science; Fine Arts</t>
  </si>
  <si>
    <t>https://ebookcentral.proquest.com/lib/iuavit/detail.action?docID=4694633</t>
  </si>
  <si>
    <t>Digital Scholarly Editing : Theories and Practices</t>
  </si>
  <si>
    <t>Driscoll, Matthew James;Pierazzo, Elena</t>
  </si>
  <si>
    <t>Literature; Computer Science/IT</t>
  </si>
  <si>
    <t>https://ebookcentral.proquest.com/lib/iuavit/detail.action?docID=4694634</t>
  </si>
  <si>
    <t>Ovid, Metamorphoses, 3. 511-733 : Latin Text with Introduction, Commentary, Glossary of Terms, Vocabulary Aid and Study Questions</t>
  </si>
  <si>
    <t>Gildenhard, Ingo;Zissos, Andrew</t>
  </si>
  <si>
    <t>Fiction</t>
  </si>
  <si>
    <t>https://ebookcentral.proquest.com/lib/iuavit/detail.action?docID=4694635</t>
  </si>
  <si>
    <t>Piety in Pieces : How Medieval Readers Customized Their Manuscripts</t>
  </si>
  <si>
    <t>Rudy, Kathryn M.</t>
  </si>
  <si>
    <t>https://ebookcentral.proquest.com/lib/iuavit/detail.action?docID=4694636</t>
  </si>
  <si>
    <t>Population, Providence and Empire : The Churches and Emigration from Nineteenth-Century Ireland</t>
  </si>
  <si>
    <t>Roddy, Sarah</t>
  </si>
  <si>
    <t>JV7711.R633 2014</t>
  </si>
  <si>
    <t>Ireland - Emigration and immigration - Religious aspects</t>
  </si>
  <si>
    <t>https://ebookcentral.proquest.com/lib/iuavit/detail.action?docID=4705024</t>
  </si>
  <si>
    <t>Human Remains and Mass Violence : Methodological Approaches</t>
  </si>
  <si>
    <t>Dreyfus, Jean-Marc;Anstett, Élisabeth;Anstett, Elisabeth;Anstett, Elisabeth</t>
  </si>
  <si>
    <t>HV8079.H6.H863 2015</t>
  </si>
  <si>
    <t>Mass murder investigation.</t>
  </si>
  <si>
    <t>https://ebookcentral.proquest.com/lib/iuavit/detail.action?docID=4705029</t>
  </si>
  <si>
    <t>Lenin and the Making of the Soviet State : A Brief History with Documents</t>
  </si>
  <si>
    <t>Palgrave Macmillan US</t>
  </si>
  <si>
    <t>Palgrave Macmillan</t>
  </si>
  <si>
    <t>D31-34</t>
  </si>
  <si>
    <t>Heads of state--Soviet Union--Biography.</t>
  </si>
  <si>
    <t>https://ebookcentral.proquest.com/lib/iuavit/detail.action?docID=4715762</t>
  </si>
  <si>
    <t>The Poetry of Hanshan (Cold Mountain), Shide, and Fenggan</t>
  </si>
  <si>
    <t>Rouzer, Paul;Nugent, Christopher</t>
  </si>
  <si>
    <t>PL2531 .P648 2017</t>
  </si>
  <si>
    <t>Chinese poetry-Tang dynasty, 618-907.</t>
  </si>
  <si>
    <t>https://ebookcentral.proquest.com/lib/iuavit/detail.action?docID=4718362</t>
  </si>
  <si>
    <t>Materiality of Writing in Early Mesopotamia</t>
  </si>
  <si>
    <t>Balke, Thomas E.;Tsouparopoulou, Christina</t>
  </si>
  <si>
    <t>PJ3824 .M384 2016</t>
  </si>
  <si>
    <t>Cuneiform inscriptions, Akkadian. ; Cuneiform inscriptions, Akkadian-History-Congresses.</t>
  </si>
  <si>
    <t>https://ebookcentral.proquest.com/lib/iuavit/detail.action?docID=4718392</t>
  </si>
  <si>
    <t>Filtration Materials for Groundwater : A Guide to Good Practice</t>
  </si>
  <si>
    <t>Kozyatnyk, Ivan</t>
  </si>
  <si>
    <t>TD426K699 2016</t>
  </si>
  <si>
    <t>Groundwater--Purification.</t>
  </si>
  <si>
    <t>https://ebookcentral.proquest.com/lib/iuavit/detail.action?docID=4732975</t>
  </si>
  <si>
    <t>Rational Design of Next-Generation Nanomaterials and Nanodevices for Water Applications</t>
  </si>
  <si>
    <t>Wang, Peng</t>
  </si>
  <si>
    <t>Engineering: Environmental; Engineering: General; Engineering</t>
  </si>
  <si>
    <t>TD433.W36 2016</t>
  </si>
  <si>
    <t>Water--Purification.</t>
  </si>
  <si>
    <t>https://ebookcentral.proquest.com/lib/iuavit/detail.action?docID=4742387</t>
  </si>
  <si>
    <t>Les Maladies émergentes : Zika, Ébola, Chikungunya... Comprendre Ces Infections et les Prévenir Au Quotidien</t>
  </si>
  <si>
    <t>Braly, Jean-Philippe;Yazdanpanah, Yazdan;Lévy, Yves</t>
  </si>
  <si>
    <t>Social Science; Health; Medicine</t>
  </si>
  <si>
    <t>RA644.Z56.B735 2016</t>
  </si>
  <si>
    <t>Zika virus infection.</t>
  </si>
  <si>
    <t>https://ebookcentral.proquest.com/lib/iuavit/detail.action?docID=4742718</t>
  </si>
  <si>
    <t>Variation und Wandel : Zur Konkurrenz Morphologischer und Syntaktischer a+N-Verbindungen Im Deutschen und Niederländischen Seit 1700</t>
  </si>
  <si>
    <t>Schuster, Saskia</t>
  </si>
  <si>
    <t>https://ebookcentral.proquest.com/lib/iuavit/detail.action?docID=4749379</t>
  </si>
  <si>
    <t>Monastische Kultur Als Transkonfessionelles Phänomen : Beiträge Einer Deutsch-Russischen Interdisziplinären Tagung in Vladimir und Suzdal'</t>
  </si>
  <si>
    <t>Steindorff, Ludwig;Auge, Oliver</t>
  </si>
  <si>
    <t>BX2405.M663 2016</t>
  </si>
  <si>
    <t>Monasticism and religious orders--History--Congresses.</t>
  </si>
  <si>
    <t>https://ebookcentral.proquest.com/lib/iuavit/detail.action?docID=4749391</t>
  </si>
  <si>
    <t>Pore Scale Geochemical Processes</t>
  </si>
  <si>
    <t>Steefel, Carl;Emmanuel, Simon;Anovitz, Lawrence</t>
  </si>
  <si>
    <t>Science; Science: Geology</t>
  </si>
  <si>
    <t>QE515 .P674 2015</t>
  </si>
  <si>
    <t>Geochemistry. ; Mineralogy. ; Mineralogy-Mathematical models. ; Geophysics-Mathematical models. ; Transport theory. ; Porous materials. ; Porosity.</t>
  </si>
  <si>
    <t>https://ebookcentral.proquest.com/lib/iuavit/detail.action?docID=4749420</t>
  </si>
  <si>
    <t>Understanding Material Text Cultures : A Multidisciplinary View</t>
  </si>
  <si>
    <t>Hilgert, Markus</t>
  </si>
  <si>
    <t>P211.3.M628 .U534 2016</t>
  </si>
  <si>
    <t>302.2/24409</t>
  </si>
  <si>
    <t>Writing-Social aspects-Middle East-History. ; Writing-Social aspects-Africa, North-History. ; Writing-Social aspects-Africa, Central-History. ; Material culture-Middle East-History. ; Material culture-Africa, North-History. ; Material culture-Africa, Central-History. ; Middle East-Social life and customs. ; Africa, North-Social life and customs. ; Africa, Central-Social life and customs.</t>
  </si>
  <si>
    <t>https://ebookcentral.proquest.com/lib/iuavit/detail.action?docID=4768876</t>
  </si>
  <si>
    <t>Wissenschaftliches Publizieren : Zwischen Digitalisierung, Leistungsmessung, Ökonomisierung und Medialer Beobachtung</t>
  </si>
  <si>
    <t>Weingart, Peter;Taubert, Niels</t>
  </si>
  <si>
    <t>Publishing; Social Science; Library Science</t>
  </si>
  <si>
    <t>https://ebookcentral.proquest.com/lib/iuavit/detail.action?docID=4768898</t>
  </si>
  <si>
    <t>Of Gods and Books : Ritual and Knowledge Transmission in the Manuscript Cultures of Premodern India</t>
  </si>
  <si>
    <t>De Simini, Florinda</t>
  </si>
  <si>
    <t>BL1111.4 .D475 2016</t>
  </si>
  <si>
    <t>294.5/92</t>
  </si>
  <si>
    <t>Hinduism-Sacred books. ; Hinduism-Rituals-History and criticism. ; Tantric literature-History and criticism. ; Manuscripts, Sanskrit-History. ; Manuscripts, Kannada-History.</t>
  </si>
  <si>
    <t>https://ebookcentral.proquest.com/lib/iuavit/detail.action?docID=4768916</t>
  </si>
  <si>
    <t>Dynamics of Religion : Past and Present. Proceedings of the XXI World Congress of the International Association for the History of Religions</t>
  </si>
  <si>
    <t>Bochinger, Christoph;Rüpke, Jörg;Begemann, Elisabeth</t>
  </si>
  <si>
    <t>BL65.C8 .D963 2017</t>
  </si>
  <si>
    <t>201/.7</t>
  </si>
  <si>
    <t>Religion and culture. ; Apartheid-South Africa-Religious aspects. ; Shinto and state-Japan. ; Imperialism-Religious aspects. ; Buddhism-Japan. ; Established churches. ; Cultural pluralism. ; Fuxi (Legendary character) ; Islamic fundamentalism. ; Judaism and culture.</t>
  </si>
  <si>
    <t>https://ebookcentral.proquest.com/lib/iuavit/detail.action?docID=4768935</t>
  </si>
  <si>
    <t>One-Volume Libraries: Composite and Multiple-Text Manuscripts</t>
  </si>
  <si>
    <t>Friedrich, Michael;Schwarke, Cosima</t>
  </si>
  <si>
    <t>Z105 .O548 2016</t>
  </si>
  <si>
    <t>Manuscripts-History. ; Transmission of texts-History.</t>
  </si>
  <si>
    <t>https://ebookcentral.proquest.com/lib/iuavit/detail.action?docID=4768993</t>
  </si>
  <si>
    <t>Yearbook of the Maimonides Centre for Advanced Studies. 2016 : 2016</t>
  </si>
  <si>
    <t>Veltri, Giuseppe;Meyrav, Yoav;Meyrav, Yoav</t>
  </si>
  <si>
    <t>Religion; Philosophy</t>
  </si>
  <si>
    <t>https://ebookcentral.proquest.com/lib/iuavit/detail.action?docID=4769012</t>
  </si>
  <si>
    <t>The Encyclopedia of British Film : Fourth Edition</t>
  </si>
  <si>
    <t>McFarlane, Brian;Slide, Anthony</t>
  </si>
  <si>
    <t>PN1993.5.G7.E539 2013</t>
  </si>
  <si>
    <t>Motion pictures--Great Britain--Encyclopedias.</t>
  </si>
  <si>
    <t>https://ebookcentral.proquest.com/lib/iuavit/detail.action?docID=4777260</t>
  </si>
  <si>
    <t>Diffusion and Transfer of Knowledge in Agriculture</t>
  </si>
  <si>
    <t>Huyghe, Christian;Bergeret, Pascal;Svedin, Uno</t>
  </si>
  <si>
    <t>Agriculture; Business/Management; Economics</t>
  </si>
  <si>
    <t>S494.5.I5 .D544 2016</t>
  </si>
  <si>
    <t>Agricultural innovations.</t>
  </si>
  <si>
    <t>https://ebookcentral.proquest.com/lib/iuavit/detail.action?docID=4787961</t>
  </si>
  <si>
    <t>Essays in Honour of Eamonn Cantwell : Yeats Annual No. 20</t>
  </si>
  <si>
    <t>https://ebookcentral.proquest.com/lib/iuavit/detail.action?docID=4788062</t>
  </si>
  <si>
    <t>The Infrastructure Finance Challenge</t>
  </si>
  <si>
    <t>Walter, Ingo</t>
  </si>
  <si>
    <t>https://ebookcentral.proquest.com/lib/iuavit/detail.action?docID=4788063</t>
  </si>
  <si>
    <t>Vertical Readings in Dante's Comedy : Volume 2</t>
  </si>
  <si>
    <t>https://ebookcentral.proquest.com/lib/iuavit/detail.action?docID=4788064</t>
  </si>
  <si>
    <t>Literature Against Criticism : University English and Contemporary Fiction in Conflict</t>
  </si>
  <si>
    <t>Eve, Martin Paul</t>
  </si>
  <si>
    <t>https://ebookcentral.proquest.com/lib/iuavit/detail.action?docID=4788065</t>
  </si>
  <si>
    <t>Open Education : International Perspectives in Higher Education</t>
  </si>
  <si>
    <t>Blessinger, Patrick;Bliss, T. J.</t>
  </si>
  <si>
    <t>https://ebookcentral.proquest.com/lib/iuavit/detail.action?docID=4788066</t>
  </si>
  <si>
    <t>Woodstock Scholarship : An Interdisciplinary Annotated Bibliography</t>
  </si>
  <si>
    <t>Gatten, Jeffrey N.</t>
  </si>
  <si>
    <t>Social Science; General Works/Reference; History</t>
  </si>
  <si>
    <t>https://ebookcentral.proquest.com/lib/iuavit/detail.action?docID=4788067</t>
  </si>
  <si>
    <t>Reichszentralbehörden, Regionale Behörden und Wissenschaftliche Hochschulen Für Die Zehn Westdeutschen länder Sowie Berlin</t>
  </si>
  <si>
    <t>Institut für Zeitgeschichte, Institut für;Boberach, Heinz;Gessner, Dietrich;Metschies, Kurt;Seebold, Gustav H.</t>
  </si>
  <si>
    <t>DD256.5.R453 1991</t>
  </si>
  <si>
    <t>National socialism.</t>
  </si>
  <si>
    <t>https://ebookcentral.proquest.com/lib/iuavit/detail.action?docID=4793608</t>
  </si>
  <si>
    <t>Inventar der Befehle des Obersten Chefs der Sowjetischen Militäradministration in Deutschland (SMAD) 1945-1949 : - Offene Serie -</t>
  </si>
  <si>
    <t>Institut für Zeitgeschichte, Institut für;Foitzik, Jan;Röder, Werner;Weisz, Christoph;Foitzik, Jan</t>
  </si>
  <si>
    <t>Z2240.3 DD257.2.F658 1995</t>
  </si>
  <si>
    <t>https://ebookcentral.proquest.com/lib/iuavit/detail.action?docID=4793609</t>
  </si>
  <si>
    <t>Bibliography</t>
  </si>
  <si>
    <t>Waardenburg, Jacques</t>
  </si>
  <si>
    <t>016.6145/989</t>
  </si>
  <si>
    <t>https://ebookcentral.proquest.com/lib/iuavit/detail.action?docID=4793742</t>
  </si>
  <si>
    <t>Material Culture in Modern Diplomacy from the 15th to the 20th Century</t>
  </si>
  <si>
    <t>Rudolph, Harriet;Metzig, Gregor M.</t>
  </si>
  <si>
    <t>JZ1329.5 .M384 2016</t>
  </si>
  <si>
    <t>327.209/03</t>
  </si>
  <si>
    <t>Diplomacy-History. ; Intercultural communication-History. ; World politics-20th century. ; Material culture-Political aspects-History. ; World politics-To 1900. ; International relations-History.</t>
  </si>
  <si>
    <t>https://ebookcentral.proquest.com/lib/iuavit/detail.action?docID=4793916</t>
  </si>
  <si>
    <t>Audiovisuelle Rhythmen : Filmmusik, Bewegungskomposition und Die Dynamische Affizierung des Zuschauers</t>
  </si>
  <si>
    <t>Bakels, Jan-Hendrik</t>
  </si>
  <si>
    <t>https://ebookcentral.proquest.com/lib/iuavit/detail.action?docID=4793928</t>
  </si>
  <si>
    <t>Affektpoetiken des New Hollywood : Suspense, Paranoia und Melancholie</t>
  </si>
  <si>
    <t>Lehmann, Hauke</t>
  </si>
  <si>
    <t>https://ebookcentral.proquest.com/lib/iuavit/detail.action?docID=4793929</t>
  </si>
  <si>
    <t>Architecture et Croissance des Plantes : Modélisation et Applications</t>
  </si>
  <si>
    <t>De Reffye, Philippe;Jaeger, Marc;Barthélémy, Daniel;Houllier, François</t>
  </si>
  <si>
    <t>QK731.R444 2016</t>
  </si>
  <si>
    <t>Growth (Plants)</t>
  </si>
  <si>
    <t>https://ebookcentral.proquest.com/lib/iuavit/detail.action?docID=4803179</t>
  </si>
  <si>
    <t>Minnereden : Auswahledition</t>
  </si>
  <si>
    <t>Dorobantu, Iulia-Emilia;Klingner, Jacob;Lieb, Ludger</t>
  </si>
  <si>
    <t>PT1429.M5M35 2017</t>
  </si>
  <si>
    <t>https://ebookcentral.proquest.com/lib/iuavit/detail.action?docID=4804396</t>
  </si>
  <si>
    <t>Auslegung und Hermeneutik der Bibel in der Reformationszeit</t>
  </si>
  <si>
    <t>Christ-von Wedel, Christine;Grosse, Sven</t>
  </si>
  <si>
    <t>Religion; Literature</t>
  </si>
  <si>
    <t>https://ebookcentral.proquest.com/lib/iuavit/detail.action?docID=4804411</t>
  </si>
  <si>
    <t>The Psychology of Social Networking Vol. 1 : Personal Experience in Online Communities</t>
  </si>
  <si>
    <t>Riva, Giuseppe;Wiederhold, Brenda K.;Cipresso, Pietro</t>
  </si>
  <si>
    <t>HM742 .P793 2016</t>
  </si>
  <si>
    <t>Online social networks-Psychological aspects.</t>
  </si>
  <si>
    <t>https://ebookcentral.proquest.com/lib/iuavit/detail.action?docID=4810088</t>
  </si>
  <si>
    <t>Language in the Digital Era. Challenges and Perspectives</t>
  </si>
  <si>
    <t>Dejica, Daniel;Hansen, Gyde;Sandrini, Peter;Para, Iulia</t>
  </si>
  <si>
    <t>P49 .L364 2016</t>
  </si>
  <si>
    <t>Linguistic change. ; Computational linguistics. ; Digital humanities. ; Communication-Technological innovations. ; Translating and interpreting-Technological innovations.</t>
  </si>
  <si>
    <t>https://ebookcentral.proquest.com/lib/iuavit/detail.action?docID=4812837</t>
  </si>
  <si>
    <t>Events, States and Times : An Essay on Narrative Discourse in English</t>
  </si>
  <si>
    <t>Altshuler, Daniel</t>
  </si>
  <si>
    <t>P302.7 .A487 2016</t>
  </si>
  <si>
    <t>401/.41</t>
  </si>
  <si>
    <t>Discourse analysis, Narrative. ; Grammar, Comparative and general. ; English language-Verb phrase. ; English language-Semantics.</t>
  </si>
  <si>
    <t>https://ebookcentral.proquest.com/lib/iuavit/detail.action?docID=4812841</t>
  </si>
  <si>
    <t>The Black Death and Later Plague Epidemics in the Scandinavian Countries: : Perspectives and Controversies</t>
  </si>
  <si>
    <t>Benedictow, Ole Jørgen;Benedictow, Ole Jørgen</t>
  </si>
  <si>
    <t>Medicine; Health</t>
  </si>
  <si>
    <t>RC178.S34 .B464 2016</t>
  </si>
  <si>
    <t>Plague-Scandinavia-History. ; Plague-Scandinavia-Epidemiology-History.</t>
  </si>
  <si>
    <t>https://ebookcentral.proquest.com/lib/iuavit/detail.action?docID=4822074</t>
  </si>
  <si>
    <t>Structural Analysis and Renovation Design of Ageing Sewers : Design Theories and Case Studies</t>
  </si>
  <si>
    <t>Zihai, Shi;Masaaki, Nakano;Yoshifumi, Takahashi</t>
  </si>
  <si>
    <t>Engineering: Environmental; Engineering</t>
  </si>
  <si>
    <t>TD716 .S55 2016</t>
  </si>
  <si>
    <t>Sewerage-Maintenance and repair.</t>
  </si>
  <si>
    <t>https://ebookcentral.proquest.com/lib/iuavit/detail.action?docID=4822100</t>
  </si>
  <si>
    <t>Rhetoric and Drama</t>
  </si>
  <si>
    <t>Mayfield, D. S.</t>
  </si>
  <si>
    <t>PN183 .R448 2017</t>
  </si>
  <si>
    <t>Rhetoric-History. ; Drama-Technique.</t>
  </si>
  <si>
    <t>https://ebookcentral.proquest.com/lib/iuavit/detail.action?docID=4822105</t>
  </si>
  <si>
    <t>Behaviour, Development and Evolution</t>
  </si>
  <si>
    <t>Bateson, Patrick</t>
  </si>
  <si>
    <t>Science: Zoology</t>
  </si>
  <si>
    <t>https://ebookcentral.proquest.com/lib/iuavit/detail.action?docID=4831155</t>
  </si>
  <si>
    <t>Wallenstein : A Dramatic Poem</t>
  </si>
  <si>
    <t>Schiller, Friedrich;Kimmich, Flora;Paulin, Roger</t>
  </si>
  <si>
    <t>https://ebookcentral.proquest.com/lib/iuavit/detail.action?docID=4831156</t>
  </si>
  <si>
    <t>What Works in Conservation : 2017</t>
  </si>
  <si>
    <t>Sutherland, William J.;Dicks, Lynn V.;Ockendon, Nancy</t>
  </si>
  <si>
    <t>Economics; Science; Environmental Studies; Science: Biology/Natural History</t>
  </si>
  <si>
    <t>QH75$b.W438 2017</t>
  </si>
  <si>
    <t>Biodiversity conservation-Government policy.</t>
  </si>
  <si>
    <t>https://ebookcentral.proquest.com/lib/iuavit/detail.action?docID=4831157</t>
  </si>
  <si>
    <t>Security in a Small Nation : Scotland, Democracy, Politics</t>
  </si>
  <si>
    <t>Neal, Andrew W.</t>
  </si>
  <si>
    <t>https://ebookcentral.proquest.com/lib/iuavit/detail.action?docID=4831158</t>
  </si>
  <si>
    <t>Deliberation, Representation, Equity : Research Approaches, Tools and Algorithms for Participatory Processes</t>
  </si>
  <si>
    <t>Ekenberg, Love;Hansson, Karin;Danielson, Mats;Cars, Göran</t>
  </si>
  <si>
    <t>https://ebookcentral.proquest.com/lib/iuavit/detail.action?docID=4831159</t>
  </si>
  <si>
    <t>Construire des Politiques Alimentaires Urbaines : Concepts et Démarches</t>
  </si>
  <si>
    <t>Brand, Caroline;Bricas, Nicolas;Conaré, Damien;Daviron, Benoit;Debru, Julie;Michel, Laura;Soulard, Christophe-Toussaint</t>
  </si>
  <si>
    <t>https://ebookcentral.proquest.com/lib/iuavit/detail.action?docID=4845337</t>
  </si>
  <si>
    <t>La Traction Animale</t>
  </si>
  <si>
    <t>Havard, Michel;Vall, Éric;Lhoste, Philippe</t>
  </si>
  <si>
    <t>SF78.L467 2010</t>
  </si>
  <si>
    <t>Draft animals.</t>
  </si>
  <si>
    <t>https://ebookcentral.proquest.com/lib/iuavit/detail.action?docID=4864836</t>
  </si>
  <si>
    <t>Une Petite Histoire de l'alimentation Française</t>
  </si>
  <si>
    <t>Bellemain, Véronique;Boquet, Karine;Galichet, Théo;Gouello, Katell;Martin, Ambroise;Nairaud, Daniel;Poulain, Jean Pierre</t>
  </si>
  <si>
    <t>https://ebookcentral.proquest.com/lib/iuavit/detail.action?docID=4873061</t>
  </si>
  <si>
    <t>Twentieth-Century Russian Poetry : Reinventing the Canon</t>
  </si>
  <si>
    <t>Hodgson, Katharine;Shelton, Joanne;Smith, Alexandra</t>
  </si>
  <si>
    <t>https://ebookcentral.proquest.com/lib/iuavit/detail.action?docID=4901448</t>
  </si>
  <si>
    <t>The Idea of Europe : Enlightenment Perspectives</t>
  </si>
  <si>
    <t>Seth, Catriona;von Kulessa, Rotraud</t>
  </si>
  <si>
    <t>Philosophy; Literature; History</t>
  </si>
  <si>
    <t>https://ebookcentral.proquest.com/lib/iuavit/detail.action?docID=4901449</t>
  </si>
  <si>
    <t>Just Managing? : What It Means for the Families of Austerity Britain</t>
  </si>
  <si>
    <t>O'Brien, Mark;Kyprianou, Paul</t>
  </si>
  <si>
    <t>https://ebookcentral.proquest.com/lib/iuavit/detail.action?docID=4901450</t>
  </si>
  <si>
    <t>Zombies in Western Culture : A Twenty-First Century Crisis</t>
  </si>
  <si>
    <t>Vervaeke, John;Miscevic, Filip;Mastropietro, Christopher</t>
  </si>
  <si>
    <t>https://ebookcentral.proquest.com/lib/iuavit/detail.action?docID=4901451</t>
  </si>
  <si>
    <t>L' idée de L'Europe : Au Siècle des Lumières</t>
  </si>
  <si>
    <t>von Kulessa, Rotraud;Seth, Catriona</t>
  </si>
  <si>
    <t>Literature; Philosophy; History</t>
  </si>
  <si>
    <t>https://ebookcentral.proquest.com/lib/iuavit/detail.action?docID=4901452</t>
  </si>
  <si>
    <t>Searching for Sharing : Heritage and Multimedia in Africa</t>
  </si>
  <si>
    <t>Merolla, Daniela;Turin, Mark</t>
  </si>
  <si>
    <t>Social Science; Library Science; Literature</t>
  </si>
  <si>
    <t>https://ebookcentral.proquest.com/lib/iuavit/detail.action?docID=4901459</t>
  </si>
  <si>
    <t>Living Territories to Transform the World</t>
  </si>
  <si>
    <t>Caron, Patrick;Valette, Elodie;Wassenaar, Tom;d'Eeckenbrugge, Geo Coppens;Papazian, Vatché</t>
  </si>
  <si>
    <t>https://ebookcentral.proquest.com/lib/iuavit/detail.action?docID=4901620</t>
  </si>
  <si>
    <t>Willensfreiheit</t>
  </si>
  <si>
    <t>Keil, Geert</t>
  </si>
  <si>
    <t>BJ1463.K455 2017</t>
  </si>
  <si>
    <t>123/.5</t>
  </si>
  <si>
    <t>Free will and determinism.</t>
  </si>
  <si>
    <t>https://ebookcentral.proquest.com/lib/iuavit/detail.action?docID=5106141</t>
  </si>
  <si>
    <t>Love and Its Critics : From the Song of Songs to Shakespeare and Milton's Eden</t>
  </si>
  <si>
    <t>Bryson, Michael;Movsesian, Arpi</t>
  </si>
  <si>
    <t>https://ebookcentral.proquest.com/lib/iuavit/detail.action?docID=5115277</t>
  </si>
  <si>
    <t>World of Walls : The Structure, Roles and Effectiveness of Separation Barriers</t>
  </si>
  <si>
    <t>Saddiki, Said</t>
  </si>
  <si>
    <t>https://ebookcentral.proquest.com/lib/iuavit/detail.action?docID=5115278</t>
  </si>
  <si>
    <t>Ethics for A-Level</t>
  </si>
  <si>
    <t>Dimmock, Mark;Fisher, Andrew</t>
  </si>
  <si>
    <t>Philosophy; Education</t>
  </si>
  <si>
    <t>https://ebookcentral.proquest.com/lib/iuavit/detail.action?docID=5115280</t>
  </si>
  <si>
    <t>Die Europaidee Im Zeitalter der Aufklärung</t>
  </si>
  <si>
    <t>https://ebookcentral.proquest.com/lib/iuavit/detail.action?docID=5115281</t>
  </si>
  <si>
    <t>Warlike and Peaceful Societies : The Interaction of Genes and Culture</t>
  </si>
  <si>
    <t>Fog, Agner</t>
  </si>
  <si>
    <t>https://ebookcentral.proquest.com/lib/iuavit/detail.action?docID=5115282</t>
  </si>
  <si>
    <t>Dickens's Working Notes for 'Dombey and Son'</t>
  </si>
  <si>
    <t>Laing, Tony</t>
  </si>
  <si>
    <t>https://ebookcentral.proquest.com/lib/iuavit/detail.action?docID=5115283</t>
  </si>
  <si>
    <t>Von Kant Zu Schelling : Die Beiden Wege des Deutschen Idealismus</t>
  </si>
  <si>
    <t>Vető, Miklós;Gondek, Hans-Dieter</t>
  </si>
  <si>
    <t>B2745 .V486 2019</t>
  </si>
  <si>
    <t>Idealism, German. ; Philosophy, German-18th century. ; Philosophy, German-19th century.</t>
  </si>
  <si>
    <t>https://ebookcentral.proquest.com/lib/iuavit/detail.action?docID=5153913</t>
  </si>
  <si>
    <t>Wellbeing, Freedom and Social Justice : The Capability Approach Re-Examined</t>
  </si>
  <si>
    <t>Robeyns, Ingrid</t>
  </si>
  <si>
    <t>https://ebookcentral.proquest.com/lib/iuavit/detail.action?docID=5216067</t>
  </si>
  <si>
    <t>Basic Knowledge and Conditions on Knowledge</t>
  </si>
  <si>
    <t>McBride, Mark</t>
  </si>
  <si>
    <t>https://ebookcentral.proquest.com/lib/iuavit/detail.action?docID=5216068</t>
  </si>
  <si>
    <t>Modernism and the Spiritual in Russian Art : New Perspectives</t>
  </si>
  <si>
    <t>Hardiman, Louise;Kozicharow, Nicola</t>
  </si>
  <si>
    <t>https://ebookcentral.proquest.com/lib/iuavit/detail.action?docID=5216069</t>
  </si>
  <si>
    <t>Vertical Readings in Dante's Comedy : Volume 3</t>
  </si>
  <si>
    <t>https://ebookcentral.proquest.com/lib/iuavit/detail.action?docID=5216070</t>
  </si>
  <si>
    <t>Information and Empire : Mechanisms of Communication in Russia, 1600-1854</t>
  </si>
  <si>
    <t>Franklin, Simon;Bowers, Katherine</t>
  </si>
  <si>
    <t>https://ebookcentral.proquest.com/lib/iuavit/detail.action?docID=5216071</t>
  </si>
  <si>
    <t>Science As Social Existence : Heidegger and the Sociology of Scientific Knowledge</t>
  </si>
  <si>
    <t>Kochan, Jeff</t>
  </si>
  <si>
    <t>https://ebookcentral.proquest.com/lib/iuavit/detail.action?docID=5216072</t>
  </si>
  <si>
    <t>Long Narrative Songs from the Mongghul of Northeast Tibet : Texts in Mongghul, Chinese, and English</t>
  </si>
  <si>
    <t>Dechun, Li;Roche, Gerald;Turin, Mark</t>
  </si>
  <si>
    <t>https://ebookcentral.proquest.com/lib/iuavit/detail.action?docID=5216073</t>
  </si>
  <si>
    <t>God's Babies : Natalism and Bible Interpretation in Modern America</t>
  </si>
  <si>
    <t>McKeown, John</t>
  </si>
  <si>
    <t>Religion; Environmental Studies</t>
  </si>
  <si>
    <t>https://ebookcentral.proquest.com/lib/iuavit/detail.action?docID=5253046</t>
  </si>
  <si>
    <t>Cultural Heritage Ethics : Between Theory and Practice</t>
  </si>
  <si>
    <t>Constantine, Sandis</t>
  </si>
  <si>
    <t>Fine Arts; Political Science; Social Science</t>
  </si>
  <si>
    <t>https://ebookcentral.proquest.com/lib/iuavit/detail.action?docID=5253047</t>
  </si>
  <si>
    <t>Resemblance and Representation : An Essay in the Philosophy of Pictures</t>
  </si>
  <si>
    <t>Blumson, Ben</t>
  </si>
  <si>
    <t>https://ebookcentral.proquest.com/lib/iuavit/detail.action?docID=5253048</t>
  </si>
  <si>
    <t>Democracy and Power : The Delhi Lectures</t>
  </si>
  <si>
    <t>Chomsky, Noam;èze, Jean</t>
  </si>
  <si>
    <t>https://ebookcentral.proquest.com/lib/iuavit/detail.action?docID=5253049</t>
  </si>
  <si>
    <t>Stories from Quechan Oral Literature</t>
  </si>
  <si>
    <t>Halpern, A. M.;Miller, Amy</t>
  </si>
  <si>
    <t>Language/Linguistics; Literature; Social Science</t>
  </si>
  <si>
    <t>https://ebookcentral.proquest.com/lib/iuavit/detail.action?docID=5253050</t>
  </si>
  <si>
    <t>L' histoire de l'Inra, Entre Science et Politique</t>
  </si>
  <si>
    <t>Cornu, Pierre;Valceschini, Egizio;Maeght-Bournay, Odile</t>
  </si>
  <si>
    <t>Business/Management; Political Science; Medicine</t>
  </si>
  <si>
    <t>https://ebookcentral.proquest.com/lib/iuavit/detail.action?docID=5255601</t>
  </si>
  <si>
    <t>Mémento de L'assainissement : Mettre en Oeuvre un Service d'assainissement Complet, Durable et Adapté</t>
  </si>
  <si>
    <t>Gabert, Julien</t>
  </si>
  <si>
    <t>https://ebookcentral.proquest.com/lib/iuavit/detail.action?docID=5255604</t>
  </si>
  <si>
    <t>The Jewish Unions in America : Pages of History and Memories</t>
  </si>
  <si>
    <t>Weinstein, Bernard;Wolfthal, Maurice</t>
  </si>
  <si>
    <t>https://ebookcentral.proquest.com/lib/iuavit/detail.action?docID=5355720</t>
  </si>
  <si>
    <t>An Anglo-Norman Reader</t>
  </si>
  <si>
    <t>Bliss, Jane</t>
  </si>
  <si>
    <t>https://ebookcentral.proquest.com/lib/iuavit/detail.action?docID=5355721</t>
  </si>
  <si>
    <t>Text Genetics in Literary Modernism and Other Essays</t>
  </si>
  <si>
    <t>Gabler, Hans Walter</t>
  </si>
  <si>
    <t>Computer Science/IT; Literature</t>
  </si>
  <si>
    <t>https://ebookcentral.proquest.com/lib/iuavit/detail.action?docID=5355722</t>
  </si>
  <si>
    <t>Human and Machine Consciousness</t>
  </si>
  <si>
    <t>Gamez, David</t>
  </si>
  <si>
    <t>Philosophy; Science: Biology/Natural History; Computer Science/IT</t>
  </si>
  <si>
    <t>https://ebookcentral.proquest.com/lib/iuavit/detail.action?docID=5355723</t>
  </si>
  <si>
    <t>Yeats's Legacies : Yeats Annual No. 21</t>
  </si>
  <si>
    <t>https://ebookcentral.proquest.com/lib/iuavit/detail.action?docID=5355724</t>
  </si>
  <si>
    <t>Remote Capture : Digitising Documentary Heritage in Challenging Locations</t>
  </si>
  <si>
    <t>Sutherland, Patrick;Farquhar, Adam;Butterworth, Jody;Pearson, Andrew</t>
  </si>
  <si>
    <t>Fine Arts; General Works/Reference; Social Science</t>
  </si>
  <si>
    <t>https://ebookcentral.proquest.com/lib/iuavit/detail.action?docID=5355725</t>
  </si>
  <si>
    <t>Mobilities, Boundaries, and Travelling Ideas : Rethinking Translocality Beyond Central Asia and the Caucasus</t>
  </si>
  <si>
    <t>Stephan-Emmrich, Manja;Schröder, Philipp</t>
  </si>
  <si>
    <t>https://ebookcentral.proquest.com/lib/iuavit/detail.action?docID=5355726</t>
  </si>
  <si>
    <t>Tales of Darkness and Light : Soso Tham's the Old Days of the Khasis</t>
  </si>
  <si>
    <t>Tham, Soso;Hujon, Janet;Turin, Mark</t>
  </si>
  <si>
    <t>https://ebookcentral.proquest.com/lib/iuavit/detail.action?docID=5355727</t>
  </si>
  <si>
    <t>Making the Medieval Relevant : How Medieval Studies Contribute to Improving Our Understanding of the Present</t>
  </si>
  <si>
    <t>Jones, Chris;Kostick, Conor;Oschema, Klaus</t>
  </si>
  <si>
    <t>https://ebookcentral.proquest.com/lib/iuavit/detail.action?docID=5380632</t>
  </si>
  <si>
    <t>The Poetry and Prose of Wang Wei : Volume I</t>
  </si>
  <si>
    <t>Rouzer, Paul;Nugent, Christopher;Wang, Wei</t>
  </si>
  <si>
    <t>895.11/3</t>
  </si>
  <si>
    <t>https://ebookcentral.proquest.com/lib/iuavit/detail.action?docID=5388042</t>
  </si>
  <si>
    <t>Poetics and Politics : Net Structures and Agencies in Early Modern Drama</t>
  </si>
  <si>
    <t>Bernhart, Toni;Drnovsek, Jasa;Kilian, Sven Thorsten;Küpper, Joachim;Mosch, Jan</t>
  </si>
  <si>
    <t>https://ebookcentral.proquest.com/lib/iuavit/detail.action?docID=5388062</t>
  </si>
  <si>
    <t>Esse 2017 : Proceedings of the International Conference on Environmental Science and Sustainable Energy Ed. by ZhaoYang Dong</t>
  </si>
  <si>
    <t>Wang, Yong</t>
  </si>
  <si>
    <t>Engineering: Chemical; Environmental Studies; Science: Physics</t>
  </si>
  <si>
    <t>https://ebookcentral.proquest.com/lib/iuavit/detail.action?docID=5388106</t>
  </si>
  <si>
    <t>Socrates, or on Human Knowledge : Bilingual Edition</t>
  </si>
  <si>
    <t>Luzzatto, Simone;Veltri, Giuseppe;Torbidoni, Michela</t>
  </si>
  <si>
    <t>https://ebookcentral.proquest.com/lib/iuavit/detail.action?docID=5428863</t>
  </si>
  <si>
    <t>Theatre Cultures Within Globalising Empires : Looking at Early Modern England and Spain</t>
  </si>
  <si>
    <t>Küpper, Joachim;Pawlita, Leonie;Rüegg, Madeline</t>
  </si>
  <si>
    <t>https://ebookcentral.proquest.com/lib/iuavit/detail.action?docID=5435775</t>
  </si>
  <si>
    <t>Dividing Texts : Conventions of Visual Text-Organisation in Nepalese and North Indian Manuscripts</t>
  </si>
  <si>
    <t>Bhattarai, Bidur</t>
  </si>
  <si>
    <t>History; Literature; General Works/Reference</t>
  </si>
  <si>
    <t>https://ebookcentral.proquest.com/lib/iuavit/detail.action?docID=5447338</t>
  </si>
  <si>
    <t>Scepticism and Anti-Scepticism in Medieval Jewish Philosophy and Thought</t>
  </si>
  <si>
    <t>Haliva, Racheli</t>
  </si>
  <si>
    <t>Philosophy; Religion</t>
  </si>
  <si>
    <t>https://ebookcentral.proquest.com/lib/iuavit/detail.action?docID=5447342</t>
  </si>
  <si>
    <t>Wirklichkeit Oder Konstruktion? : Sprachtheoretische und Interdisziplinäre Aspekte Einer Brisanten Alternative</t>
  </si>
  <si>
    <t>Felder, Ekkehard;Gardt, Andreas</t>
  </si>
  <si>
    <t>BD331.W566 2018</t>
  </si>
  <si>
    <t>https://ebookcentral.proquest.com/lib/iuavit/detail.action?docID=5447345</t>
  </si>
  <si>
    <t>The Works of Li Qingzhao : China's Foremost Woman Poet</t>
  </si>
  <si>
    <t>Egan, Ronald;Shields, Anna</t>
  </si>
  <si>
    <t>895.18/42</t>
  </si>
  <si>
    <t>https://ebookcentral.proquest.com/lib/iuavit/detail.action?docID=5447348</t>
  </si>
  <si>
    <t>The Poetry of Ruan Ji and Xi Kang</t>
  </si>
  <si>
    <t>Owen, Stephen;Swartz, Wendy;Warner, Ding Xiang;Tian, Xiaofei</t>
  </si>
  <si>
    <t>Chinese</t>
  </si>
  <si>
    <t>https://ebookcentral.proquest.com/lib/iuavit/detail.action?docID=5493919</t>
  </si>
  <si>
    <t>SignGram Blueprint : A Guide to Sign Language Grammar Writing</t>
  </si>
  <si>
    <t>Quer, Josep;Cecchetto, Carlo;Donati, Caterina;Geraci, Carlo;Kelepir, Meltem;Pfau, Roland;Steinbach, Markus</t>
  </si>
  <si>
    <t>https://ebookcentral.proquest.com/lib/iuavit/detail.action?docID=5493920</t>
  </si>
  <si>
    <t>Commercial Communication in the Digital Age : Information or Disinformation?</t>
  </si>
  <si>
    <t>Siegert, Gabriele;Rimscha, M. Bjø;Grubenmann, Stephanie</t>
  </si>
  <si>
    <t>Language/Linguistics; Library Science</t>
  </si>
  <si>
    <t>https://ebookcentral.proquest.com/lib/iuavit/detail.action?docID=5493940</t>
  </si>
  <si>
    <t>Beyond Priesthood : Religious Entrepreneurs and Innovators in the Roman Empire</t>
  </si>
  <si>
    <t>Gordon, Richard L.;Petridou, Georgia;Rüpke, Jörg</t>
  </si>
  <si>
    <t>https://ebookcentral.proquest.com/lib/iuavit/detail.action?docID=5493941</t>
  </si>
  <si>
    <t>Superconductors at the Nanoscale : From Basic Research to Applications</t>
  </si>
  <si>
    <t>Wördenweber, Roger;Moshchalkov, Victor;Bending, Simon;Tafuri, Francesco;Bauch, Thilo;Babaev, Egor;Blamire, Mark G.;Brun, Christophe;Buzdin, Alexander;Carlström, Johan</t>
  </si>
  <si>
    <t>Science: Physics; Engineering: Electrical; Science</t>
  </si>
  <si>
    <t>https://ebookcentral.proquest.com/lib/iuavit/detail.action?docID=5493942</t>
  </si>
  <si>
    <t>Organized Secularism in the United States : New Directions in Research</t>
  </si>
  <si>
    <t>Cragun, Ryan T.;Manning, Christel;Fazzino, Lori L.</t>
  </si>
  <si>
    <t>https://ebookcentral.proquest.com/lib/iuavit/detail.action?docID=5493943</t>
  </si>
  <si>
    <t>Sprache in Wissenschaft und Dichtung : Diskursive Formationen Von Mathematik, Physik, Logik und Dichtung Im 17. und 18. Jahrhundert</t>
  </si>
  <si>
    <t>Illi, Manuel</t>
  </si>
  <si>
    <t>https://ebookcentral.proquest.com/lib/iuavit/detail.action?docID=5493944</t>
  </si>
  <si>
    <t>Die Werkstatt des Dichters : Imaginationsräume Literarischer Produktion</t>
  </si>
  <si>
    <t>Kastberger, Klaus;Maurer, Stefan</t>
  </si>
  <si>
    <t>https://ebookcentral.proquest.com/lib/iuavit/detail.action?docID=5493945</t>
  </si>
  <si>
    <t>The Psychology of Social Networking Vol. 2 : Identity and Relationships in Online Communities</t>
  </si>
  <si>
    <t>HM742</t>
  </si>
  <si>
    <t>https://ebookcentral.proquest.com/lib/iuavit/detail.action?docID=5493946</t>
  </si>
  <si>
    <t>The Linguistic Integration of Adult Migrants / l'intégration Linguistique des Migrants Adultes : Some Lessons from Research / les Enseignements de la Recherche</t>
  </si>
  <si>
    <t>Council of Europe / Conseil de l'Europe, Council of;Beacco, Jean-Claude;Krumm, Hans-Jürgen;Little, David;Thalgott, Philia;Council of Europe / Conseil de l'Europe, Council of;Beacco, Jean-Claude;Krumm, Hans-Jürgen;Little, David;Thalgott, Philia</t>
  </si>
  <si>
    <t>https://ebookcentral.proquest.com/lib/iuavit/detail.action?docID=5493947</t>
  </si>
  <si>
    <t>Maria in Hymnus und Sequenz : Interdisziplinäre Mediävistische Perspektiven</t>
  </si>
  <si>
    <t>Rothenberger, Eva;Wegener, Lydia</t>
  </si>
  <si>
    <t>https://ebookcentral.proquest.com/lib/iuavit/detail.action?docID=5493948</t>
  </si>
  <si>
    <t>Biodiversity in Agricultural Landscapes of Southeastern Brazil</t>
  </si>
  <si>
    <t>Gheler-Costa, Carla;Lyra-Jorge, Maria Carolina;Martins Verdade, Luciano</t>
  </si>
  <si>
    <t>Agriculture; Environmental Studies; Economics</t>
  </si>
  <si>
    <t>S494.5.A43</t>
  </si>
  <si>
    <t>333.95/1609815</t>
  </si>
  <si>
    <t>https://ebookcentral.proquest.com/lib/iuavit/detail.action?docID=5493950</t>
  </si>
  <si>
    <t>Current Trends in Historical Sociolinguistics</t>
  </si>
  <si>
    <t>Russi, Cinzia</t>
  </si>
  <si>
    <t>P140</t>
  </si>
  <si>
    <t>https://ebookcentral.proquest.com/lib/iuavit/detail.action?docID=5493951</t>
  </si>
  <si>
    <t>Doing Applied Linguistics : Enabling Transdisciplinary Communication</t>
  </si>
  <si>
    <t>Perrin, Daniel;Kleinberger, Ulla</t>
  </si>
  <si>
    <t>https://ebookcentral.proquest.com/lib/iuavit/detail.action?docID=5493952</t>
  </si>
  <si>
    <t>Planning to Cope with Tropical and Subtropical Climate Change</t>
  </si>
  <si>
    <t>Tiepolo, Maurizio</t>
  </si>
  <si>
    <t>Environmental Studies; Business/Management</t>
  </si>
  <si>
    <t>HC79.E5</t>
  </si>
  <si>
    <t>https://ebookcentral.proquest.com/lib/iuavit/detail.action?docID=5493953</t>
  </si>
  <si>
    <t>Augmented Reality : Reflections on Its Contribution to Knowledge Formation</t>
  </si>
  <si>
    <t>Ariso, José María</t>
  </si>
  <si>
    <t>https://ebookcentral.proquest.com/lib/iuavit/detail.action?docID=5493954</t>
  </si>
  <si>
    <t>Western-Pontic Culture Ambience and Pattern : In Memory of Eugen Comsa</t>
  </si>
  <si>
    <t>Nikolova, Lolita;Merlini, Marco;Comsa, Alexandra</t>
  </si>
  <si>
    <t>DR20</t>
  </si>
  <si>
    <t>https://ebookcentral.proquest.com/lib/iuavit/detail.action?docID=5493955</t>
  </si>
  <si>
    <t>Farewell to Shulamit : Spatial and Social Diversity in the Song of Songs</t>
  </si>
  <si>
    <t>Wilke, Carsten</t>
  </si>
  <si>
    <t>https://ebookcentral.proquest.com/lib/iuavit/detail.action?docID=5493956</t>
  </si>
  <si>
    <t>Commentary on the Gospels : English Translation and Introduction</t>
  </si>
  <si>
    <t>Fortunatianus Aquileiensis, Fortunatianus;Houghton, H. A. G.</t>
  </si>
  <si>
    <t>226/.07</t>
  </si>
  <si>
    <t>https://ebookcentral.proquest.com/lib/iuavit/detail.action?docID=5493957</t>
  </si>
  <si>
    <t>Embodying the Vedas : Traditional Vedic Schools of Contemporary Maharashtra</t>
  </si>
  <si>
    <t>Larios, Borayin</t>
  </si>
  <si>
    <t>https://ebookcentral.proquest.com/lib/iuavit/detail.action?docID=5493958</t>
  </si>
  <si>
    <t>A Prehistory of Hinduism</t>
  </si>
  <si>
    <t>Devadevan, Manu V.</t>
  </si>
  <si>
    <t>https://ebookcentral.proquest.com/lib/iuavit/detail.action?docID=5493959</t>
  </si>
  <si>
    <t>Play Development in Children with Disabilties</t>
  </si>
  <si>
    <t>Besio, Serenella;Bulgarelli, Daniela;Stancheva-Popkostadinova, Vaska</t>
  </si>
  <si>
    <t>615.8/515300877</t>
  </si>
  <si>
    <t>https://ebookcentral.proquest.com/lib/iuavit/detail.action?docID=5493960</t>
  </si>
  <si>
    <t>Yearbook of the Maimonides Centre for Advanced Studies. 2017 : Yearbook of the Maimonides Centre for Advanced Studies</t>
  </si>
  <si>
    <t>Rebiger, Bill;Schaeper, Silke</t>
  </si>
  <si>
    <t>https://ebookcentral.proquest.com/lib/iuavit/detail.action?docID=5493961</t>
  </si>
  <si>
    <t>Zwischen Literatur und Naturwissenschaft : Debatten - Probleme - Visionen 1680-1820</t>
  </si>
  <si>
    <t>Freiburg, Rudolf;Lubkoll, Christine;Neumeyer, Harald</t>
  </si>
  <si>
    <t>https://ebookcentral.proquest.com/lib/iuavit/detail.action?docID=5493962</t>
  </si>
  <si>
    <t>Filmische Poetiken der Schuld : Die Audiovisuelle Anklage der Sinne Als Modalität des Gemeinschaftsempfindens</t>
  </si>
  <si>
    <t>Grotkopp, Matthias</t>
  </si>
  <si>
    <t>https://ebookcentral.proquest.com/lib/iuavit/detail.action?docID=5493963</t>
  </si>
  <si>
    <t>Writing Matters : Presenting and Perceiving Monumental Inscriptions in Antiquity and the Middle Ages</t>
  </si>
  <si>
    <t>Berti, Irene;Bolle, Katharina;Opdenhoff, Fanny;Stroth, Fabian</t>
  </si>
  <si>
    <t>https://ebookcentral.proquest.com/lib/iuavit/detail.action?docID=5493964</t>
  </si>
  <si>
    <t>Deep Stories : Practicing, Teaching, and Learning Anthropology with Digital Storytelling</t>
  </si>
  <si>
    <t>Nuñez-Janes, Mariela;Thornburg, Aaron;Booker, Angela</t>
  </si>
  <si>
    <t>Education; Fine Arts; Social Science</t>
  </si>
  <si>
    <t>https://ebookcentral.proquest.com/lib/iuavit/detail.action?docID=5493965</t>
  </si>
  <si>
    <t>Derrida on Being As Presence : Questions and Quests</t>
  </si>
  <si>
    <t>White, David A.</t>
  </si>
  <si>
    <t>Mathematics; Philosophy</t>
  </si>
  <si>
    <t>https://ebookcentral.proquest.com/lib/iuavit/detail.action?docID=5493967</t>
  </si>
  <si>
    <t>Manuscripts and Archives : Comparative Views on Record-Keeping</t>
  </si>
  <si>
    <t>Bausi, Alessandro;Brockmann, Christian;Friedrich, Michael;Kienitz, Sabine</t>
  </si>
  <si>
    <t>https://ebookcentral.proquest.com/lib/iuavit/detail.action?docID=5493968</t>
  </si>
  <si>
    <t>The Arts and Crafts of Literacy : Islamic Manuscript Cultures in Sub-Saharan Africa</t>
  </si>
  <si>
    <t>Brigaglia, Andrea;Nobili, Mauro;Brigaglia, Andrea</t>
  </si>
  <si>
    <t>https://ebookcentral.proquest.com/lib/iuavit/detail.action?docID=5493969</t>
  </si>
  <si>
    <t>Institutional Change in the Public Sphere : Views on the Nordic Model</t>
  </si>
  <si>
    <t>Engelstad, Fredrik;Larsen, Håkon;Rogstad, Jon;Steen-Johnsen, Kari</t>
  </si>
  <si>
    <t>Business/Management; Social Science; Language/Linguistics</t>
  </si>
  <si>
    <t>https://ebookcentral.proquest.com/lib/iuavit/detail.action?docID=5493970</t>
  </si>
  <si>
    <t>Jewish Manuscript Cultures : New Perspectives</t>
  </si>
  <si>
    <t>Wandrey, Irina</t>
  </si>
  <si>
    <t>Fine Arts; Philosophy; Social Science</t>
  </si>
  <si>
    <t>https://ebookcentral.proquest.com/lib/iuavit/detail.action?docID=5493983</t>
  </si>
  <si>
    <t>Linear Algebra : A Course for Physicists and Engineers</t>
  </si>
  <si>
    <t>Mathai, Arak M.;Haubold, Hans J.</t>
  </si>
  <si>
    <t>https://ebookcentral.proquest.com/lib/iuavit/detail.action?docID=5493984</t>
  </si>
  <si>
    <t>Digital Papyrology I : Methods, Tools and Trends</t>
  </si>
  <si>
    <t>Reggiani, Nicola</t>
  </si>
  <si>
    <t>https://ebookcentral.proquest.com/lib/iuavit/detail.action?docID=5493985</t>
  </si>
  <si>
    <t>IFLA's First Fifty Years : Achievement and Challenge in International Librarianship</t>
  </si>
  <si>
    <t>Koops, Willem Roelf Henderikus;Wieder, Joachim</t>
  </si>
  <si>
    <t>https://ebookcentral.proquest.com/lib/iuavit/detail.action?docID=5493986</t>
  </si>
  <si>
    <t>Le Diplomate Au Travail : Entscheidungsprozesse, Information und Kommunikation Im Umkreis des Westfälischen Friedenskongresses</t>
  </si>
  <si>
    <t>Babel, Rainer</t>
  </si>
  <si>
    <t>https://ebookcentral.proquest.com/lib/iuavit/detail.action?docID=5494130</t>
  </si>
  <si>
    <t>Ninth European Powder Diffraction Conference : Prague, September 2-5 2004</t>
  </si>
  <si>
    <t>Walter de Gruyter</t>
  </si>
  <si>
    <t>Science: Chemistry; Science: Physics</t>
  </si>
  <si>
    <t>https://ebookcentral.proquest.com/lib/iuavit/detail.action?docID=5494132</t>
  </si>
  <si>
    <t>Fifth Size Strain Conference. Diffraction Analysis of the Microstructure of Materials : Garmisch-Partenkirchen, October 7-9 2007</t>
  </si>
  <si>
    <t>https://ebookcentral.proquest.com/lib/iuavit/detail.action?docID=5494133</t>
  </si>
  <si>
    <t>Tenth European Powder Diffraction Conference : Geneva, September 1-4 2006</t>
  </si>
  <si>
    <t>Science: Physics; Science: Chemistry</t>
  </si>
  <si>
    <t>https://ebookcentral.proquest.com/lib/iuavit/detail.action?docID=5494134</t>
  </si>
  <si>
    <t>Eleventh European Powder Diffraction Conference : Warsaw, September 19-22 2008</t>
  </si>
  <si>
    <t>Engineering; Science: Physics</t>
  </si>
  <si>
    <t>https://ebookcentral.proquest.com/lib/iuavit/detail.action?docID=5494137</t>
  </si>
  <si>
    <t>The British and Irish Ruling Class 1660-1945 Vol. 2</t>
  </si>
  <si>
    <t>Wasson, Ellis A.</t>
  </si>
  <si>
    <t>328.41092/2</t>
  </si>
  <si>
    <t>https://ebookcentral.proquest.com/lib/iuavit/detail.action?docID=5494918</t>
  </si>
  <si>
    <t>Muslims and Christians in the Bulgarian Rhodopes : Studies on Religious (Anti)Syncretism</t>
  </si>
  <si>
    <t>Lubanska, Magdalena</t>
  </si>
  <si>
    <t>DR64.2</t>
  </si>
  <si>
    <t>https://ebookcentral.proquest.com/lib/iuavit/detail.action?docID=5494919</t>
  </si>
  <si>
    <t>Users' Needs Report on Play for Children with Disabilities : Parents' and Children's Views</t>
  </si>
  <si>
    <t>Allodi Westling, Mara;Zappaterra, Tamara</t>
  </si>
  <si>
    <t>371.9/0472</t>
  </si>
  <si>
    <t>https://ebookcentral.proquest.com/lib/iuavit/detail.action?docID=5494922</t>
  </si>
  <si>
    <t>Advanced Composite Materials: Properties and Applications</t>
  </si>
  <si>
    <t>Bafekrpour, Ehsan</t>
  </si>
  <si>
    <t>Engineering: Construction; Engineering</t>
  </si>
  <si>
    <t>https://ebookcentral.proquest.com/lib/iuavit/detail.action?docID=5494923</t>
  </si>
  <si>
    <t>Europe in Green : European Environmental Democracy</t>
  </si>
  <si>
    <t>https://ebookcentral.proquest.com/lib/iuavit/detail.action?docID=5494924</t>
  </si>
  <si>
    <t>Novel Molecular Approaches to Target Microbial Virulence</t>
  </si>
  <si>
    <t>Holban, Alina Maria;Grumezescu, Alexandru Mihai</t>
  </si>
  <si>
    <t>RM267</t>
  </si>
  <si>
    <t>616.9/2</t>
  </si>
  <si>
    <t>https://ebookcentral.proquest.com/lib/iuavit/detail.action?docID=5494925</t>
  </si>
  <si>
    <t>The Roots of Respect : A Historic-Philosophical Itinerary</t>
  </si>
  <si>
    <t>Giorgini, Giovanni;Irrera, Elena</t>
  </si>
  <si>
    <t>https://ebookcentral.proquest.com/lib/iuavit/detail.action?docID=5494927</t>
  </si>
  <si>
    <t>Weißbuch Konservative Orthopädie und Unfallchirurgie</t>
  </si>
  <si>
    <t>Psczolla, Matthias;Kladny, Bernd;Flechtenmacher, Johannes;Hoffmann, Reinhard;Dreinhöfer, Karsten</t>
  </si>
  <si>
    <t>https://ebookcentral.proquest.com/lib/iuavit/detail.action?docID=5494931</t>
  </si>
  <si>
    <t>The Concept of Constitution in the History of Political Thought</t>
  </si>
  <si>
    <t>Górnisiewicz, Arkadiusz;Szlachta, Bogdan</t>
  </si>
  <si>
    <t>https://ebookcentral.proquest.com/lib/iuavit/detail.action?docID=5494938</t>
  </si>
  <si>
    <t>Human Computer Confluence : Transforming Human Experience Through Symbiotic Technologies</t>
  </si>
  <si>
    <t>Gaggioli, Andrea;Ferscha, Alois;Riva, Giuseppe;Dunne, Stephen;Viaud-Delmon, Isabelle</t>
  </si>
  <si>
    <t>https://ebookcentral.proquest.com/lib/iuavit/detail.action?docID=5494939</t>
  </si>
  <si>
    <t>Kinetic Landscapes : The Cide Archaeological Project: Surveying the Turkish Western Black Sea Region</t>
  </si>
  <si>
    <t>Düring, Bleda S.;Glatz, Claudia</t>
  </si>
  <si>
    <t>DR431.K56 2015</t>
  </si>
  <si>
    <t>https://ebookcentral.proquest.com/lib/iuavit/detail.action?docID=5494945</t>
  </si>
  <si>
    <t>Barriers to Play and Recreation for Children and Young People with Disabilities : Exploring Environmental Factors</t>
  </si>
  <si>
    <t>Barron, Carol;Beckett, Angharad;Coussens, Marieke;Desoete, Annemie;Cannon Jones, Nan;Lynch, Helen;Prellwitz, Maria;Fenney Salkeld, Deborah</t>
  </si>
  <si>
    <t>https://ebookcentral.proquest.com/lib/iuavit/detail.action?docID=5494946</t>
  </si>
  <si>
    <t>Measure Theory in Non-Smooth Spaces</t>
  </si>
  <si>
    <t>Gigli, Nicola</t>
  </si>
  <si>
    <t>https://ebookcentral.proquest.com/lib/iuavit/detail.action?docID=5494949</t>
  </si>
  <si>
    <t>Dynamics of Architecture in Late Baroque Rome : Cardinal Pietro Ottoboni at the Cancelleria</t>
  </si>
  <si>
    <t>Olszewski, Edward</t>
  </si>
  <si>
    <t>Architecture; Fine Arts</t>
  </si>
  <si>
    <t>https://ebookcentral.proquest.com/lib/iuavit/detail.action?docID=5494956</t>
  </si>
  <si>
    <t>Non-Extensive Entropy Econometrics for Low Frequency Series : National Accounts-Based Inverse Problems</t>
  </si>
  <si>
    <t>Bwanakare, Second</t>
  </si>
  <si>
    <t>https://ebookcentral.proquest.com/lib/iuavit/detail.action?docID=5494957</t>
  </si>
  <si>
    <t>Shape Optimization and Spectral Theory</t>
  </si>
  <si>
    <t>Henrot, Antoine</t>
  </si>
  <si>
    <t>https://ebookcentral.proquest.com/lib/iuavit/detail.action?docID=5494961</t>
  </si>
  <si>
    <t>Theater Im Gespräch : Sprachliche Publikumspraktiken in der Theaterpause</t>
  </si>
  <si>
    <t>Gerwinski, Jan;Habscheid, Stephan;Linz, Erika;Besthorn, Marit;Hesse, Mareike;Hrncal, Christine;Schlinkmann, Eva</t>
  </si>
  <si>
    <t>P95.45.G47 2018</t>
  </si>
  <si>
    <t>https://ebookcentral.proquest.com/lib/iuavit/detail.action?docID=5494963</t>
  </si>
  <si>
    <t>Moderate Fundamentalists : Ahmadiyya Muslim Jama'at in the Lens of Cognitive Science of Religion</t>
  </si>
  <si>
    <t>Upal, Muhammad Afzal</t>
  </si>
  <si>
    <t>https://ebookcentral.proquest.com/lib/iuavit/detail.action?docID=5494967</t>
  </si>
  <si>
    <t>Governance of a Distant Province in the Middle Ages : Case Study on Upper Lusatia</t>
  </si>
  <si>
    <t>Fokt, Krzysztof</t>
  </si>
  <si>
    <t>https://ebookcentral.proquest.com/lib/iuavit/detail.action?docID=5494971</t>
  </si>
  <si>
    <t>The British and Irish Ruling Class 1660-1945 Vol. 1</t>
  </si>
  <si>
    <t>https://ebookcentral.proquest.com/lib/iuavit/detail.action?docID=5494975</t>
  </si>
  <si>
    <t>Un(intended) Language Planning in a Globalising World: Multiple Levels of Players at Work</t>
  </si>
  <si>
    <t>CHUA Siew Kheng, Catherine</t>
  </si>
  <si>
    <t>https://ebookcentral.proquest.com/lib/iuavit/detail.action?docID=5494977</t>
  </si>
  <si>
    <t>Health Promotion at School : Pedagogical Aspects and Practical Implications</t>
  </si>
  <si>
    <t>Knisel, Elke</t>
  </si>
  <si>
    <t>Health</t>
  </si>
  <si>
    <t>https://ebookcentral.proquest.com/lib/iuavit/detail.action?docID=5494979</t>
  </si>
  <si>
    <t>Proceedings from the ICERP 2016 : International Conference on Environmental Research and Public Health</t>
  </si>
  <si>
    <t>Zuo, Yuegang</t>
  </si>
  <si>
    <t>Science: Biology/Natural History; Medicine; Environmental Studies</t>
  </si>
  <si>
    <t>https://ebookcentral.proquest.com/lib/iuavit/detail.action?docID=5494980</t>
  </si>
  <si>
    <t>Recent Developments in Nonlocal Theory</t>
  </si>
  <si>
    <t>Palatucci, Giampiero;Kuusi, Tuomo</t>
  </si>
  <si>
    <t>https://ebookcentral.proquest.com/lib/iuavit/detail.action?docID=5494981</t>
  </si>
  <si>
    <t>Quo Vadis, Medicus? : Health Behaviour among Health Professionals and Students</t>
  </si>
  <si>
    <t>Laudanska-Krzeminska, Ida</t>
  </si>
  <si>
    <t>RC965.M39</t>
  </si>
  <si>
    <t>https://ebookcentral.proquest.com/lib/iuavit/detail.action?docID=5494982</t>
  </si>
  <si>
    <t>Undocumented Migrants and Healthcare : Eight Stories from Switzerland</t>
  </si>
  <si>
    <t>Jossen, Marianne</t>
  </si>
  <si>
    <t>https://ebookcentral.proquest.com/lib/iuavit/detail.action?docID=5495468</t>
  </si>
  <si>
    <t>Exploring the Interior : Essays on Literary and Cultural History</t>
  </si>
  <si>
    <t>Guthke, Karl S.</t>
  </si>
  <si>
    <t>809/.033</t>
  </si>
  <si>
    <t>https://ebookcentral.proquest.com/lib/iuavit/detail.action?docID=5495469</t>
  </si>
  <si>
    <t>The Juggler of Notre Dame and the Medievalizing of Modernity : Volume 1: the Middle Ages</t>
  </si>
  <si>
    <t>Ziolkowski, Jan M.</t>
  </si>
  <si>
    <t>https://ebookcentral.proquest.com/lib/iuavit/detail.action?docID=5495470</t>
  </si>
  <si>
    <t>What Works in Conservation : 2018</t>
  </si>
  <si>
    <t>QH75$b.W438 2018</t>
  </si>
  <si>
    <t>Biodiversity conservation.</t>
  </si>
  <si>
    <t>https://ebookcentral.proquest.com/lib/iuavit/detail.action?docID=5495471</t>
  </si>
  <si>
    <t>The Juggler of Notre Dame and the Medievalizing of Modernity : Volume 2: Medieval Meets Medievalism</t>
  </si>
  <si>
    <t>https://ebookcentral.proquest.com/lib/iuavit/detail.action?docID=5495472</t>
  </si>
  <si>
    <t>Don Carlos Infante of Spain : A Dramatic Poem</t>
  </si>
  <si>
    <t>Schiller, Friedrich;Kimmich, Flora;Guthrie, John</t>
  </si>
  <si>
    <t>https://ebookcentral.proquest.com/lib/iuavit/detail.action?docID=5495473</t>
  </si>
  <si>
    <t>Europa Im Geisterkrieg. Studien Zu Nietzsche</t>
  </si>
  <si>
    <t>Stegmaier, Werner;Bertino, Andrea C.</t>
  </si>
  <si>
    <t>https://ebookcentral.proquest.com/lib/iuavit/detail.action?docID=5495474</t>
  </si>
  <si>
    <t>L' eutrophisation : Manifestations, Causes, Conséquences et Prédictibilité</t>
  </si>
  <si>
    <t>Pinay, Gilles;Gascuel, Chantal;Ménesguen, Alain;Souchon, Yves;Le Moal, Morgane;Levain, Alix;Etrillard, Claire;Moatar, Florentina;Pannard, Alexandrine;Souchu, Philippe</t>
  </si>
  <si>
    <t>https://ebookcentral.proquest.com/lib/iuavit/detail.action?docID=5496127</t>
  </si>
  <si>
    <t>Ästhetik des Gemachten : Interdisziplinäre Beiträge Zur Animations- und Comicforschung</t>
  </si>
  <si>
    <t>Backe, Hans-Joachim;Eckel, Julia;Feyersinger, Erwin;Sina, Véronique;Thon, Jan-Noël</t>
  </si>
  <si>
    <t>https://ebookcentral.proquest.com/lib/iuavit/detail.action?docID=5499585</t>
  </si>
  <si>
    <t>Innovation et développement Dans les Systèmes Agricoles et Alimentaires</t>
  </si>
  <si>
    <t>Faure, Guy;Chiffoleau, Yuna;Goulet, édéric;Temple, Ludovic;Touzard, Jean-Marc</t>
  </si>
  <si>
    <t>https://ebookcentral.proquest.com/lib/iuavit/detail.action?docID=5502819</t>
  </si>
  <si>
    <t>Material Aspects of Letter Writing in the Graeco-Roman World : C. 500 BC - C. AD 300</t>
  </si>
  <si>
    <t>Sarri, Antonia</t>
  </si>
  <si>
    <t>Language/Linguistics; History</t>
  </si>
  <si>
    <t>https://ebookcentral.proquest.com/lib/iuavit/detail.action?docID=5507663</t>
  </si>
  <si>
    <t>Studies on Greek and Coptic Majuscule Scripts and Books</t>
  </si>
  <si>
    <t>Orsini, Pasquale</t>
  </si>
  <si>
    <t>General Works/Reference; Literature</t>
  </si>
  <si>
    <t>https://ebookcentral.proquest.com/lib/iuavit/detail.action?docID=5507664</t>
  </si>
  <si>
    <t>Papierherstellung Im Deutschen Südwesten : Ein Neues Gewerbe Im Späten Mittelalter</t>
  </si>
  <si>
    <t>Schultz, Sandra</t>
  </si>
  <si>
    <t>https://ebookcentral.proquest.com/lib/iuavit/detail.action?docID=5507666</t>
  </si>
  <si>
    <t>Image - Action - Space : Situating the Screen in Visual Practice</t>
  </si>
  <si>
    <t>Feiersinger, Luisa;Friedrich, Kathrin;Queisner, Moritz;Feiersinger, Luisa</t>
  </si>
  <si>
    <t>NX180.T4I43 2018</t>
  </si>
  <si>
    <t>https://ebookcentral.proquest.com/lib/iuavit/detail.action?docID=5507667</t>
  </si>
  <si>
    <t>Sportfunktionäre und Jüdische Differenz : Zwischen Anerkennung und Antisemitismus - Wien 1918 Bis 1938</t>
  </si>
  <si>
    <t>Hachleitner, Bernhard;Marschik, Matthias;Spitaler, Georg;Spitaler, Georg</t>
  </si>
  <si>
    <t>Sport &amp;amp; Recreation</t>
  </si>
  <si>
    <t>GV608.5.V5S66 2018</t>
  </si>
  <si>
    <t>https://ebookcentral.proquest.com/lib/iuavit/detail.action?docID=5507668</t>
  </si>
  <si>
    <t>Regionalismen</t>
  </si>
  <si>
    <t>Engel, Ulf</t>
  </si>
  <si>
    <t>https://ebookcentral.proquest.com/lib/iuavit/detail.action?docID=5511083</t>
  </si>
  <si>
    <t>Konstruktion Von Sprache und Sprachwissen : Eine Empirische Studie Zur Schriftsprachaneignung Sprachstarker und Sprachschwacher Kinder</t>
  </si>
  <si>
    <t>Schaller, Pascale</t>
  </si>
  <si>
    <t>https://ebookcentral.proquest.com/lib/iuavit/detail.action?docID=5511084</t>
  </si>
  <si>
    <t>Rewriting Maimonides : Early Commentaries on the Guide of the Perplexed</t>
  </si>
  <si>
    <t>De Souza, Igor H.</t>
  </si>
  <si>
    <t>BM545.D35R49 2018</t>
  </si>
  <si>
    <t>https://ebookcentral.proquest.com/lib/iuavit/detail.action?docID=5511085</t>
  </si>
  <si>
    <t>The Cultural Net : Early Modern Drama As a Paradigm</t>
  </si>
  <si>
    <t>Küpper, Joachim</t>
  </si>
  <si>
    <t>https://ebookcentral.proquest.com/lib/iuavit/detail.action?docID=5511086</t>
  </si>
  <si>
    <t>Crossroads of Colonial Cultures : Caribbean Literatures in the Age of Revolution</t>
  </si>
  <si>
    <t>Müller, Gesine</t>
  </si>
  <si>
    <t>840.9/9729</t>
  </si>
  <si>
    <t>https://ebookcentral.proquest.com/lib/iuavit/detail.action?docID=5511087</t>
  </si>
  <si>
    <t>Probability and Statistics : A Course for Physicists and Engineers</t>
  </si>
  <si>
    <t>Engineering: Electrical; Mathematics</t>
  </si>
  <si>
    <t>https://ebookcentral.proquest.com/lib/iuavit/detail.action?docID=5511088</t>
  </si>
  <si>
    <t>The Nivison Annals : Selected Works of David S. Nivison on Early Chinese Chronology, Astronomy, and Historiography</t>
  </si>
  <si>
    <t>Nivison, David S.;Schwartz, Adam C.</t>
  </si>
  <si>
    <t>Literature; History</t>
  </si>
  <si>
    <t>https://ebookcentral.proquest.com/lib/iuavit/detail.action?docID=5511089</t>
  </si>
  <si>
    <t>Archive Für Literatur : Der Nachlass und Seine Ordnungen</t>
  </si>
  <si>
    <t>Dallinger, Petra-Maria;Hofer, Georg;Judex, Bernhard</t>
  </si>
  <si>
    <t>Museums; Literature</t>
  </si>
  <si>
    <t>https://ebookcentral.proquest.com/lib/iuavit/detail.action?docID=5511090</t>
  </si>
  <si>
    <t>Wirtschaft und Wirtschaftspolitik in Deutschland : 75 Jahre RWI - Leibniz-Institut Für Wirtschaftsforschung E. V. 1943-2018</t>
  </si>
  <si>
    <t>Pierenkemper, Toni;Fremdling, Rainer</t>
  </si>
  <si>
    <t>https://ebookcentral.proquest.com/lib/iuavit/detail.action?docID=5511091</t>
  </si>
  <si>
    <t>Digital Papyrology II : Case Studies on the Digital Edition of Ancient Greek Papyri</t>
  </si>
  <si>
    <t>https://ebookcentral.proquest.com/lib/iuavit/detail.action?docID=5511092</t>
  </si>
  <si>
    <t>Contesting Religion : The Media Dynamics of Cultural Conflicts in Scandinavia</t>
  </si>
  <si>
    <t>Lundby, Knut</t>
  </si>
  <si>
    <t>Social Science; Religion</t>
  </si>
  <si>
    <t>https://ebookcentral.proquest.com/lib/iuavit/detail.action?docID=5511093</t>
  </si>
  <si>
    <t>Die Sprache der Mainzer Republik (1792/93) : Historisch-Semantische Untersuchungen Zur Politischen Kommunikation</t>
  </si>
  <si>
    <t>Herrgen, Joachim</t>
  </si>
  <si>
    <t>PF5444.M3H47 2000</t>
  </si>
  <si>
    <t>https://ebookcentral.proquest.com/lib/iuavit/detail.action?docID=5511095</t>
  </si>
  <si>
    <t>Wir Sind Nicht Auf der Welt, Um Zu Schweigen : Eine Einleitung in Die Rhetorik</t>
  </si>
  <si>
    <t>Kopperschmidt, Josef</t>
  </si>
  <si>
    <t>https://ebookcentral.proquest.com/lib/iuavit/detail.action?docID=5511096</t>
  </si>
  <si>
    <t>Current Trends inComputer Science andMechanical Automation Vol. 2 : Selected Papers from CSMA2016</t>
  </si>
  <si>
    <t>Wang, Shawn X.</t>
  </si>
  <si>
    <t>https://ebookcentral.proquest.com/lib/iuavit/detail.action?docID=5517365</t>
  </si>
  <si>
    <t>Greek Medical Papyri : Text, Context, Hypertext</t>
  </si>
  <si>
    <t>https://ebookcentral.proquest.com/lib/iuavit/detail.action?docID=5517374</t>
  </si>
  <si>
    <t>Current Trends inComputer Science andMechanical Automation Vol. 1 : Selected Papers from CSMA2016</t>
  </si>
  <si>
    <t>https://ebookcentral.proquest.com/lib/iuavit/detail.action?docID=5517379</t>
  </si>
  <si>
    <t>Coming of Age in Byzantium : Adolescence and Society</t>
  </si>
  <si>
    <t>https://ebookcentral.proquest.com/lib/iuavit/detail.action?docID=5517386</t>
  </si>
  <si>
    <t>Advancing the Learning Agenda in Jewish Education</t>
  </si>
  <si>
    <t>Levisohn, Jon A.;Kress, Jeffrey</t>
  </si>
  <si>
    <t>Education; Religion</t>
  </si>
  <si>
    <t>LC715.A33 2018</t>
  </si>
  <si>
    <t>Jews-Education. ; Jewish religious education. ; Judaism-Study and teaching.</t>
  </si>
  <si>
    <t>https://ebookcentral.proquest.com/lib/iuavit/detail.action?docID=5522669</t>
  </si>
  <si>
    <t>Aspectuality : An Onomasiological Model Applied to the Romance Languages</t>
  </si>
  <si>
    <t>Dessì Schmid, Sarah</t>
  </si>
  <si>
    <t>https://ebookcentral.proquest.com/lib/iuavit/detail.action?docID=5525591</t>
  </si>
  <si>
    <t>Tempi der Bewegung - Modi des Gefühls : Expressivität, Heitere Affekte und Die Screwball Comedy</t>
  </si>
  <si>
    <t>Greifenstein, Sarah</t>
  </si>
  <si>
    <t>https://ebookcentral.proquest.com/lib/iuavit/detail.action?docID=5525603</t>
  </si>
  <si>
    <t>Lived Religion in the Ancient Mediterranean World : Approaching Religious Transformations from Archaeology, History and Classics</t>
  </si>
  <si>
    <t>Gasparini, Valentino;Patzelt, Maik;Raja, Rubina;Rieger, Anna-Katharina;Rüpke, Jörg;Urciuoli, Emiliano</t>
  </si>
  <si>
    <t>https://ebookcentral.proquest.com/lib/iuavit/detail.action?docID=5525610</t>
  </si>
  <si>
    <t>Assyrian and Babylonian Scholarly Text Catalogues : Medicine, Magic and Divination</t>
  </si>
  <si>
    <t>Steinert, Ulrike</t>
  </si>
  <si>
    <t>History; Religion; Medicine</t>
  </si>
  <si>
    <t>https://ebookcentral.proquest.com/lib/iuavit/detail.action?docID=5525620</t>
  </si>
  <si>
    <t>Fabellae : Frammenti Di Favole Latine e Bilingui Latino-Greche Di Tradizione Diretta (III-IV D. C. )</t>
  </si>
  <si>
    <t>Scappaticcio, Maria Chiara</t>
  </si>
  <si>
    <t>https://ebookcentral.proquest.com/lib/iuavit/detail.action?docID=5525630</t>
  </si>
  <si>
    <t>Mesopotamian Eye Disease Texts : The Nineveh Treatise</t>
  </si>
  <si>
    <t>Geller, Markham J.;Panayotov, Strahil V.</t>
  </si>
  <si>
    <t>https://ebookcentral.proquest.com/lib/iuavit/detail.action?docID=5525636</t>
  </si>
  <si>
    <t>Blumen : Historisch-Kritische Ausgabe</t>
  </si>
  <si>
    <t>Schwentner, Isabella;Schwentner, Isabella</t>
  </si>
  <si>
    <t>https://ebookcentral.proquest.com/lib/iuavit/detail.action?docID=5525674</t>
  </si>
  <si>
    <t>Re-Mapping World Literature : Writing, Book Markets and Epistemologies Between Latin America and the Global South / Escrituras, Mercados y Epistemologías Entre América Latina y el Sur Global</t>
  </si>
  <si>
    <t>Müller, Gesine;Locane, Jorge J.;Loy, Benjamin</t>
  </si>
  <si>
    <t>https://ebookcentral.proquest.com/lib/iuavit/detail.action?docID=5525717</t>
  </si>
  <si>
    <t>Der Deutsche Staat Im Jahre 1945 und Seither. Die Berufsbeamten und Die Staatskrisen</t>
  </si>
  <si>
    <t>Heydte, August von der;Dürig, Günter;Naumann, Richard;Spanner, Hans;Dürig, Günter</t>
  </si>
  <si>
    <t>https://ebookcentral.proquest.com/lib/iuavit/detail.action?docID=5525745</t>
  </si>
  <si>
    <t>ANZUS and the Early Cold War : Strategy and Diplomacy Between Australia, New Zealand and the United States, 1945-1956</t>
  </si>
  <si>
    <t>Kelly, Andrew</t>
  </si>
  <si>
    <t>https://ebookcentral.proquest.com/lib/iuavit/detail.action?docID=5527494</t>
  </si>
  <si>
    <t>With and Without Galton : Vasilii Florinskii and the Fate of Eugenics in Russia</t>
  </si>
  <si>
    <t>Krementsov, Nikolai</t>
  </si>
  <si>
    <t>https://ebookcentral.proquest.com/lib/iuavit/detail.action?docID=5527495</t>
  </si>
  <si>
    <t>The Juggler of Notre Dame and the Medievalizing of Modernity : Volume 3: the American Middle Ages</t>
  </si>
  <si>
    <t>https://ebookcentral.proquest.com/lib/iuavit/detail.action?docID=5527496</t>
  </si>
  <si>
    <t>The Red Countess : Select Autobiographical and Fictional Writing of Hermynia Zur Mühlen (1883-1951)</t>
  </si>
  <si>
    <t>Zur Mühlen, Hermynia;Gossman, Lionel</t>
  </si>
  <si>
    <t>https://ebookcentral.proquest.com/lib/iuavit/detail.action?docID=5527497</t>
  </si>
  <si>
    <t>Cicero, Philippic 2, 44-50, 78-92, 100-119 : Latin Text, Study Aids with Vocabulary, and Commentary</t>
  </si>
  <si>
    <t>https://ebookcentral.proquest.com/lib/iuavit/detail.action?docID=5527498</t>
  </si>
  <si>
    <t>The Oracle Bone Inscriptions from Huayuanzhuang East : Translated with an Introduction and Commentary</t>
  </si>
  <si>
    <t>Schwartz, Adam C.</t>
  </si>
  <si>
    <t>https://ebookcentral.proquest.com/lib/iuavit/detail.action?docID=5530535</t>
  </si>
  <si>
    <t>Housing Capital : Resource and Representation</t>
  </si>
  <si>
    <t>Derix, Simone;Lanzinger, Margareth</t>
  </si>
  <si>
    <t>https://ebookcentral.proquest.com/lib/iuavit/detail.action?docID=5535321</t>
  </si>
  <si>
    <t>Making Religion and Human Rights at the United Nations</t>
  </si>
  <si>
    <t>Årsheim, Helge</t>
  </si>
  <si>
    <t>Political Science; Religion; Social Science</t>
  </si>
  <si>
    <t>https://ebookcentral.proquest.com/lib/iuavit/detail.action?docID=5535408</t>
  </si>
  <si>
    <t>Graffiti Als Interaktionsform : Geritzte Inschriften in Den Wohnhäusern Pompejis</t>
  </si>
  <si>
    <t>Lohmann, Polly</t>
  </si>
  <si>
    <t>History; Literature; Fine Arts</t>
  </si>
  <si>
    <t>https://ebookcentral.proquest.com/lib/iuavit/detail.action?docID=5557554</t>
  </si>
  <si>
    <t>Das Steininschriftenprojekt des Wolkenheimklosters Während der Liao-Dynastie (907-1125) : Eine Analyse Seiner Kolophone</t>
  </si>
  <si>
    <t>Chuang, Hui-Ping</t>
  </si>
  <si>
    <t>https://ebookcentral.proquest.com/lib/iuavit/detail.action?docID=5557660</t>
  </si>
  <si>
    <t>Die Revokation des Edikts Von Nantes und Die Protestanten in Südostfrankreich (Provence und Dauphiné) 1685-1730</t>
  </si>
  <si>
    <t>Bernard, Anna</t>
  </si>
  <si>
    <t>BR845.B435 2003</t>
  </si>
  <si>
    <t>https://ebookcentral.proquest.com/lib/iuavit/detail.action?docID=5561647</t>
  </si>
  <si>
    <t>La Conscience des Animaux</t>
  </si>
  <si>
    <t>Le Neindre, Pierre;Dunier, Muriel;Larrère, Raphaël;Prunet, Patrick</t>
  </si>
  <si>
    <t>https://ebookcentral.proquest.com/lib/iuavit/detail.action?docID=5567195</t>
  </si>
  <si>
    <t>Land Use and Food Security in 2050: a Narrow Road : Agrimonde-Terra</t>
  </si>
  <si>
    <t>Le Mouël, Chantal;De Lattre-Gasquet, Marie;Mora, Olivier</t>
  </si>
  <si>
    <t>https://ebookcentral.proquest.com/lib/iuavit/detail.action?docID=5567197</t>
  </si>
  <si>
    <t>Happiness Is the Wrong Metric : A Liberal Communitarian Response to Populism</t>
  </si>
  <si>
    <t>Etzioni, Amitai</t>
  </si>
  <si>
    <t>B65</t>
  </si>
  <si>
    <t>https://ebookcentral.proquest.com/lib/iuavit/detail.action?docID=5588963</t>
  </si>
  <si>
    <t>Invited Lectures from the 13th International Congress on Mathematical Education</t>
  </si>
  <si>
    <t>Kaiser, Gabriele;Forgasz, Helen;Graven, Mellony;Kuzniak, Alain;Simmt, Elaine;Xu, Binyan</t>
  </si>
  <si>
    <t>QA10.92-20</t>
  </si>
  <si>
    <t>https://ebookcentral.proquest.com/lib/iuavit/detail.action?docID=5592237</t>
  </si>
  <si>
    <t>The Juggler of Notre Dame and the Medievalizing of Modernity : Volume 5: Tumbling into the Twentieth Century</t>
  </si>
  <si>
    <t>https://ebookcentral.proquest.com/lib/iuavit/detail.action?docID=5607105</t>
  </si>
  <si>
    <t>Hanging on to the Edges : Essays on Science, Society and the Academic Life</t>
  </si>
  <si>
    <t>Science: General; Science: Biology/Natural History; Social Science</t>
  </si>
  <si>
    <t>https://ebookcentral.proquest.com/lib/iuavit/detail.action?docID=5607106</t>
  </si>
  <si>
    <t>The Life and Letters of William Sharp and Fiona Macleod : Volume I: 1855-1894</t>
  </si>
  <si>
    <t>Halloran, William F.</t>
  </si>
  <si>
    <t>Literature; Publishing</t>
  </si>
  <si>
    <t>https://ebookcentral.proquest.com/lib/iuavit/detail.action?docID=5607107</t>
  </si>
  <si>
    <t>The Juggler of Notre Dame and the Medievalizing of Modernity : Volume 4: Picture That: Making a Show of the Jongleur</t>
  </si>
  <si>
    <t>Fine Arts; Literature; Architecture</t>
  </si>
  <si>
    <t>https://ebookcentral.proquest.com/lib/iuavit/detail.action?docID=5607110</t>
  </si>
  <si>
    <t>Food Anxiety in Globalising Vietnam</t>
  </si>
  <si>
    <t>Springer Singapore Pte. Limited</t>
  </si>
  <si>
    <t>Ehlert, Judith;Faltmann, Nora Katharina</t>
  </si>
  <si>
    <t>Social Science; Business/Management; Economics</t>
  </si>
  <si>
    <t>HT101-395</t>
  </si>
  <si>
    <t>https://ebookcentral.proquest.com/lib/iuavit/detail.action?docID=5625026</t>
  </si>
  <si>
    <t>Services écosystémiques Fournis Par les Espaces Agricoles : Évaluer et Caractériser</t>
  </si>
  <si>
    <t>Tibi, Anaïs;Therond, Olivier</t>
  </si>
  <si>
    <t>https://ebookcentral.proquest.com/lib/iuavit/detail.action?docID=5629085</t>
  </si>
  <si>
    <t>A Fleet Street in Every Town : The Provincial Press in England, 1855-1900</t>
  </si>
  <si>
    <t>Hobbs, Andrew</t>
  </si>
  <si>
    <t>Publishing</t>
  </si>
  <si>
    <t>070.50942090/34</t>
  </si>
  <si>
    <t>https://ebookcentral.proquest.com/lib/iuavit/detail.action?docID=5651726</t>
  </si>
  <si>
    <t>Virgil, Aeneid 11, Pallas and Camilla, 1-224, 498-521, 532-596, 648-689, 725-835 : Latin Text, Study Aids with Vocabulary, and Commentary</t>
  </si>
  <si>
    <t>Gildenhard, Ingo;Henderson, John</t>
  </si>
  <si>
    <t>https://ebookcentral.proquest.com/lib/iuavit/detail.action?docID=5651727</t>
  </si>
  <si>
    <t>The Juggler of Notre Dame and the Medievalizing of Modernity : Volume 6: War and Peace, Sex and Violence</t>
  </si>
  <si>
    <t>https://ebookcentral.proquest.com/lib/iuavit/detail.action?docID=5651728</t>
  </si>
  <si>
    <t>Hyperion, or the Hermit in Greece</t>
  </si>
  <si>
    <t>Gaskill, Howard</t>
  </si>
  <si>
    <t>Fiction; Literature; Language/Linguistics</t>
  </si>
  <si>
    <t>https://ebookcentral.proquest.com/lib/iuavit/detail.action?docID=5725327</t>
  </si>
  <si>
    <t>Delivering on the Promise of Democracy : Visual Case Studies in Educational Equity and Transformation</t>
  </si>
  <si>
    <t>Jhaj, Sukhwant</t>
  </si>
  <si>
    <t>https://ebookcentral.proquest.com/lib/iuavit/detail.action?docID=5725328</t>
  </si>
  <si>
    <t>Life Histories of Etnos Theory in Russia and Beyond</t>
  </si>
  <si>
    <t>Anderson, David G.;Arzyutov, Dmitry V.;Alymov, Sergei S.</t>
  </si>
  <si>
    <t>https://ebookcentral.proquest.com/lib/iuavit/detail.action?docID=5725329</t>
  </si>
  <si>
    <t>The Playful Citizen : Civic Engagement in a Mediatized Culture</t>
  </si>
  <si>
    <t>Amsterdam University Press</t>
  </si>
  <si>
    <t>Glas, René;Lammes, Sybille;de Lange, Michiel;Raessens, Joost;de Vries, Imar</t>
  </si>
  <si>
    <t>https://ebookcentral.proquest.com/lib/iuavit/detail.action?docID=5727927</t>
  </si>
  <si>
    <t>Trente Années d'observation des Micro-Algues et des Toxines d'algues Sur le Littoral</t>
  </si>
  <si>
    <t>Belin, Catherine;Soudant, Dominique</t>
  </si>
  <si>
    <t>https://ebookcentral.proquest.com/lib/iuavit/detail.action?docID=5734171</t>
  </si>
  <si>
    <t>Systèmes Agraires et Changement Climatique Au Sud : Les Chemins de L'adaptation</t>
  </si>
  <si>
    <t>Cochet, Hubert;Ducourtieux, Olivier;Garambois, Nadège</t>
  </si>
  <si>
    <t>https://ebookcentral.proquest.com/lib/iuavit/detail.action?docID=5734172</t>
  </si>
  <si>
    <t>Une Agronomie Pour le XXIe Siècle</t>
  </si>
  <si>
    <t>Richard, Guy;Stengel, Pierre;Lemaire, Gilles;Cellier, Pierre;Valceschini, Egizio</t>
  </si>
  <si>
    <t>https://ebookcentral.proquest.com/lib/iuavit/detail.action?docID=5734174</t>
  </si>
  <si>
    <t>The Believer and the Modern Study of the Bible</t>
  </si>
  <si>
    <t>Ganzel, Tova;Brandes, Yehudah;Deutsch, Chayuta</t>
  </si>
  <si>
    <t>BS1188 .B455 2019</t>
  </si>
  <si>
    <t>Bible.-Old Testament-Criticism, interpretation, etc. ; Bible.-Old Testament-Criticism, Redaction. ; Bible.-Old Testament-Commentaries. ; Tradition (Judaism) ; Faith (Judaism)</t>
  </si>
  <si>
    <t>https://ebookcentral.proquest.com/lib/iuavit/detail.action?docID=5743235</t>
  </si>
  <si>
    <t>Mastering Russian Spaces : Raum und Raumbewältigung Als Probleme der Russischen Geschichte</t>
  </si>
  <si>
    <t>Schlögel, Karl;gel, Karl;Schlögel, Karl</t>
  </si>
  <si>
    <t>https://ebookcentral.proquest.com/lib/iuavit/detail.action?docID=5750539</t>
  </si>
  <si>
    <t>From Darkness to Light : Writers in Museums 1798-1898</t>
  </si>
  <si>
    <t>Mamoli Zorzi, Rosella;Manthorne, Katherine</t>
  </si>
  <si>
    <t>Architecture; Fine Arts; Museums</t>
  </si>
  <si>
    <t>https://ebookcentral.proquest.com/lib/iuavit/detail.action?docID=5751614</t>
  </si>
  <si>
    <t>Women and Migration : Responses in Art and History</t>
  </si>
  <si>
    <t>Willis, Deborah;Toscano, Ellyn;Brooks Nelson, Kalia</t>
  </si>
  <si>
    <t>https://ebookcentral.proquest.com/lib/iuavit/detail.action?docID=5751615</t>
  </si>
  <si>
    <t>Whose Book Is It Anyway? : A View from Elsewhere on Publishing, Copyright and Creativity</t>
  </si>
  <si>
    <t>Jefferies, Janis;Kember, Sarah</t>
  </si>
  <si>
    <t>Law; Publishing</t>
  </si>
  <si>
    <t>https://ebookcentral.proquest.com/lib/iuavit/detail.action?docID=5751616</t>
  </si>
  <si>
    <t>Recherche Agronomique et Politique Agricole : Jacques Poly, un Stratège</t>
  </si>
  <si>
    <t>Valceschini, Egizio;Maeght-Bournay, Odile;Cornu, Pierre</t>
  </si>
  <si>
    <t>Science: General</t>
  </si>
  <si>
    <t>https://ebookcentral.proquest.com/lib/iuavit/detail.action?docID=5760554</t>
  </si>
  <si>
    <t>Movable Inn : The Rural Jewish Population of Minsk Guberniya In 1793-1914</t>
  </si>
  <si>
    <t>Kalik, Judith</t>
  </si>
  <si>
    <t>https://ebookcentral.proquest.com/lib/iuavit/detail.action?docID=5769487</t>
  </si>
  <si>
    <t>Tennyson's Poems : New Textual Parallels</t>
  </si>
  <si>
    <t>Winnick, R. H.</t>
  </si>
  <si>
    <t>https://ebookcentral.proquest.com/lib/iuavit/detail.action?docID=5771514</t>
  </si>
  <si>
    <t>Annunciations : Sacred Music for the Twenty-First Century</t>
  </si>
  <si>
    <t>Corbett, George</t>
  </si>
  <si>
    <t>https://ebookcentral.proquest.com/lib/iuavit/detail.action?docID=5771515</t>
  </si>
  <si>
    <t>Krieg und Kunst Im Antiken Griechenland und Rom : Heldentum, Identität, Herrschaft, Ideologie</t>
  </si>
  <si>
    <t>Hölscher, Tonio</t>
  </si>
  <si>
    <t>https://ebookcentral.proquest.com/lib/iuavit/detail.action?docID=5772835</t>
  </si>
  <si>
    <t>Love and Intrigue : A Bourgeois Tragedy</t>
  </si>
  <si>
    <t>Kimmich, Flora;Paulin, Roger</t>
  </si>
  <si>
    <t>https://ebookcentral.proquest.com/lib/iuavit/detail.action?docID=5781361</t>
  </si>
  <si>
    <t>Automated Machine Learning : Methods, Systems, Challenges</t>
  </si>
  <si>
    <t>Hutter, Frank;Kotthoff, Lars;Vanschoren, Joaquin</t>
  </si>
  <si>
    <t>Science</t>
  </si>
  <si>
    <t>Q334-342</t>
  </si>
  <si>
    <t>https://ebookcentral.proquest.com/lib/iuavit/detail.action?docID=5788944</t>
  </si>
  <si>
    <t>Peut-On Se Passer du Cuivre en Protection des Cultures Biologiques ? : Expertise Scientifique Collective</t>
  </si>
  <si>
    <t>Andrivon, Didier;Savini, Isabelle</t>
  </si>
  <si>
    <t>https://ebookcentral.proquest.com/lib/iuavit/detail.action?docID=5796132</t>
  </si>
  <si>
    <t>The Agroecological Transition of Agricultural Systems in the Global South</t>
  </si>
  <si>
    <t>Côte, François-Xavier;Poirier-Magona, Emmanuelle;Perret, Sylvain;Roudier, Philippe;Rapidel, Bruno;Thirion, Marie-Cécile</t>
  </si>
  <si>
    <t>https://ebookcentral.proquest.com/lib/iuavit/detail.action?docID=5796134</t>
  </si>
  <si>
    <t>The Pogroms in Ukraine, 1918-19 : Prelude to the Holocaust</t>
  </si>
  <si>
    <t>Wolfthal, Maurice</t>
  </si>
  <si>
    <t>https://ebookcentral.proquest.com/lib/iuavit/detail.action?docID=5797730</t>
  </si>
  <si>
    <t>Social Media in Higher Education : Case Studies, Reflections and Analysis</t>
  </si>
  <si>
    <t>Rowell, Chris</t>
  </si>
  <si>
    <t>Education; Computer Science/IT</t>
  </si>
  <si>
    <t>https://ebookcentral.proquest.com/lib/iuavit/detail.action?docID=5797745</t>
  </si>
  <si>
    <t>The Essence of Mathematics Through Elementary Problems</t>
  </si>
  <si>
    <t>Borovik, Alexandre;Gardiner, Tony</t>
  </si>
  <si>
    <t>https://ebookcentral.proquest.com/lib/iuavit/detail.action?docID=5811413</t>
  </si>
  <si>
    <t>Image, Knife, and Gluepot : Early Assemblage in Manuscript and Print</t>
  </si>
  <si>
    <t>https://ebookcentral.proquest.com/lib/iuavit/detail.action?docID=5838458</t>
  </si>
  <si>
    <t>Make We Merry More and Less : An Anthology of Medieval English Popular Literature</t>
  </si>
  <si>
    <t>Gray, Douglas;Bliss, Jane</t>
  </si>
  <si>
    <t>https://ebookcentral.proquest.com/lib/iuavit/detail.action?docID=5838459</t>
  </si>
  <si>
    <t>History of International Relations : A Non-European Perspective</t>
  </si>
  <si>
    <t>Ringmar, Erik</t>
  </si>
  <si>
    <t>Education; History</t>
  </si>
  <si>
    <t>https://ebookcentral.proquest.com/lib/iuavit/detail.action?docID=5846456</t>
  </si>
  <si>
    <t>Fundamentals for the Anthropocene</t>
  </si>
  <si>
    <t>Pearce, Jack</t>
  </si>
  <si>
    <t>Law; Science: Physics; Mathematics</t>
  </si>
  <si>
    <t>https://ebookcentral.proquest.com/lib/iuavit/detail.action?docID=5855006</t>
  </si>
  <si>
    <t>Painting the Sky Black : Louis Kahn and the Architectonization of Nature</t>
  </si>
  <si>
    <t>Sauter, Florian</t>
  </si>
  <si>
    <t>https://ebookcentral.proquest.com/lib/iuavit/detail.action?docID=5855100</t>
  </si>
  <si>
    <t>Contemporary Debates in Bioethics: European Perspectives</t>
  </si>
  <si>
    <t>Mihailov, Emilian;Wangmo, Tenzin;Federiuc, Victoria;Elger, Bernice</t>
  </si>
  <si>
    <t>https://ebookcentral.proquest.com/lib/iuavit/detail.action?docID=5855105</t>
  </si>
  <si>
    <t>Transport, Fluids, and Mixing</t>
  </si>
  <si>
    <t>Crippa, Gianluca;Mazzucato, Anna</t>
  </si>
  <si>
    <t>532/.05</t>
  </si>
  <si>
    <t>https://ebookcentral.proquest.com/lib/iuavit/detail.action?docID=5855371</t>
  </si>
  <si>
    <t>The Politics of Language Contact in the Himalaya</t>
  </si>
  <si>
    <t>Sonntag, Selma K.;Turin, Mark</t>
  </si>
  <si>
    <t>Language/Linguistics; Social Science; Political Science</t>
  </si>
  <si>
    <t>https://ebookcentral.proquest.com/lib/iuavit/detail.action?docID=5879741</t>
  </si>
  <si>
    <t>Conservation Biology in Sub-Saharan Africa</t>
  </si>
  <si>
    <t>Wilson, John W.;Primack, Richard B.</t>
  </si>
  <si>
    <t>Environmental Studies; Science: Zoology</t>
  </si>
  <si>
    <t>https://ebookcentral.proquest.com/lib/iuavit/detail.action?docID=5896598</t>
  </si>
  <si>
    <t>Essays on Paula Rego : Smile When You Think about Hell</t>
  </si>
  <si>
    <t>Political Science; Social Science; Fine Arts</t>
  </si>
  <si>
    <t>https://ebookcentral.proquest.com/lib/iuavit/detail.action?docID=5909950</t>
  </si>
  <si>
    <t>Theoretical and Practical Advances in Computer-Based Educational Measurement</t>
  </si>
  <si>
    <t>Veldkamp, Bernard P.;Sluijter, Cor</t>
  </si>
  <si>
    <t>LB3050-3060.87</t>
  </si>
  <si>
    <t>https://ebookcentral.proquest.com/lib/iuavit/detail.action?docID=5921930</t>
  </si>
  <si>
    <t>Regional and Local Development in Times of Polarisation : Re-Thinking Spatial Policies in Europe</t>
  </si>
  <si>
    <t>Lang, Thilo;Görmar, Franziska</t>
  </si>
  <si>
    <t>GF</t>
  </si>
  <si>
    <t>https://ebookcentral.proquest.com/lib/iuavit/detail.action?docID=5922126</t>
  </si>
  <si>
    <t>Engaging Researchers with Data Management : The Cookbook</t>
  </si>
  <si>
    <t>Clare, Connie;Cruz, Maria;Papadopoulou, Elli;Savage, James;Teperek, Marta;Wang, Yan</t>
  </si>
  <si>
    <t>General Works/Reference; Computer Science/IT; Social Science</t>
  </si>
  <si>
    <t>https://ebookcentral.proquest.com/lib/iuavit/detail.action?docID=5945037</t>
  </si>
  <si>
    <t>Labor and Value : Rethinking Marx's Theory of Exploitation</t>
  </si>
  <si>
    <t>Screpanti, Ernesto</t>
  </si>
  <si>
    <t>https://ebookcentral.proquest.com/lib/iuavit/detail.action?docID=5945038</t>
  </si>
  <si>
    <t>https://ebookcentral.proquest.com/lib/iuavit/detail.action?docID=5968193</t>
  </si>
  <si>
    <t>Taking the EU to Court : Annulment Proceedings and Multilevel Judicial Conflict</t>
  </si>
  <si>
    <t>Adam, christian;Bauer, Michael W.;Hartlapp, Miriam;Mathieu, Emmanuelle</t>
  </si>
  <si>
    <t>JN1-9692.2</t>
  </si>
  <si>
    <t>https://ebookcentral.proquest.com/lib/iuavit/detail.action?docID=5969374</t>
  </si>
  <si>
    <t>Autistic Community and the Neurodiversity Movement : Stories from the Frontline</t>
  </si>
  <si>
    <t>Kapp, Steven K.</t>
  </si>
  <si>
    <t>RA418-418.5</t>
  </si>
  <si>
    <t>https://ebookcentral.proquest.com/lib/iuavit/detail.action?docID=5974959</t>
  </si>
  <si>
    <t>Prose Fiction : An Introduction to the Semiotics of Narrative</t>
  </si>
  <si>
    <t>Ribó, Ignasi</t>
  </si>
  <si>
    <t>Fiction; Education</t>
  </si>
  <si>
    <t>https://ebookcentral.proquest.com/lib/iuavit/detail.action?docID=5994469</t>
  </si>
  <si>
    <t>Non-Communicable Disease Prevention : Best Buys, Wasted Buys and Contestable Buys</t>
  </si>
  <si>
    <t>Isaranuwatchai, Wanrudee;Archer, Rachel A.;Teerawattananon, Yot;Culyer, Anthony J.</t>
  </si>
  <si>
    <t>https://ebookcentral.proquest.com/lib/iuavit/detail.action?docID=5994470</t>
  </si>
  <si>
    <t>The Waning Sword : Conversion Imagery and Celestial Myth In 'Beowulf'</t>
  </si>
  <si>
    <t>Pettit, Edward</t>
  </si>
  <si>
    <t>https://ebookcentral.proquest.com/lib/iuavit/detail.action?docID=6020769</t>
  </si>
  <si>
    <t>The DARPA Model for Transformative Technologies : Perspectives on the U. S. Defense Advanced Research Projects Agency</t>
  </si>
  <si>
    <t>Bonvillian, William Boone;Van Atta, Richard;Windham, Patrick</t>
  </si>
  <si>
    <t>Engineering: General; Military Science; Political Science</t>
  </si>
  <si>
    <t>https://ebookcentral.proquest.com/lib/iuavit/detail.action?docID=6021009</t>
  </si>
  <si>
    <t>Boundary Value Problems, Weyl Functions, and Differential Operators</t>
  </si>
  <si>
    <t>Behrndt, Jussi;Hassi, Seppo;de Snoo, Henk</t>
  </si>
  <si>
    <t>QA329-329.9</t>
  </si>
  <si>
    <t>https://ebookcentral.proquest.com/lib/iuavit/detail.action?docID=6111529</t>
  </si>
  <si>
    <t>Programming for Computations - Python : A Gentle Introduction to Numerical Simulations with Python 3. 6</t>
  </si>
  <si>
    <t>Linge, Svein;Langtangen, Hans Petter</t>
  </si>
  <si>
    <t>Computer Science/IT; Mathematics</t>
  </si>
  <si>
    <t>QA71-90</t>
  </si>
  <si>
    <t>https://ebookcentral.proquest.com/lib/iuavit/detail.action?docID=6113652</t>
  </si>
  <si>
    <t>The Tiberian Pronunciation Tradition of Biblical Hebrew, Volume 1</t>
  </si>
  <si>
    <t>Khan, Geoffrey</t>
  </si>
  <si>
    <t>https://ebookcentral.proquest.com/lib/iuavit/detail.action?docID=6119556</t>
  </si>
  <si>
    <t>The Tiberian Pronunciation Tradition of Biblical Hebrew, Volume 2</t>
  </si>
  <si>
    <t>https://ebookcentral.proquest.com/lib/iuavit/detail.action?docID=6119557</t>
  </si>
  <si>
    <t>Digital Technology and the Practices of Humanities Research</t>
  </si>
  <si>
    <t>Edmond, Jennifer</t>
  </si>
  <si>
    <t>Education; Engineering: General</t>
  </si>
  <si>
    <t>https://ebookcentral.proquest.com/lib/iuavit/detail.action?docID=6122290</t>
  </si>
  <si>
    <t>Charlotte Smith and the Sonnet : Form, Place and Tradition in the Late Eighteenth Century</t>
  </si>
  <si>
    <t>Liverpool University Press</t>
  </si>
  <si>
    <t>Roberts, Bethan</t>
  </si>
  <si>
    <t>821/.6</t>
  </si>
  <si>
    <t>https://ebookcentral.proquest.com/lib/iuavit/detail.action?docID=6132344</t>
  </si>
  <si>
    <t>Fellow Travellers : Communist Trade Unionism and Industrial Relations on the French Railways, 1914-1939</t>
  </si>
  <si>
    <t>Beaumont, Thomas</t>
  </si>
  <si>
    <t>https://ebookcentral.proquest.com/lib/iuavit/detail.action?docID=6132349</t>
  </si>
  <si>
    <t>Gallucci's Commentary on dürer's 'Four Books on Human Proportion' : Renaissance Proportion Theory</t>
  </si>
  <si>
    <t>Hutson, James</t>
  </si>
  <si>
    <t>https://ebookcentral.proquest.com/lib/iuavit/detail.action?docID=6148188</t>
  </si>
  <si>
    <t>Models in Microeconomic Theory ('He' Edition)</t>
  </si>
  <si>
    <t>Osborne, Martin J.;Rubinstein, Ariel</t>
  </si>
  <si>
    <t>https://ebookcentral.proquest.com/lib/iuavit/detail.action?docID=6151556</t>
  </si>
  <si>
    <t>Models in Microeconomic Theory ('She' Edition)</t>
  </si>
  <si>
    <t>https://ebookcentral.proquest.com/lib/iuavit/detail.action?docID=6151557</t>
  </si>
  <si>
    <t>Agency : Moral Identity and Free Will</t>
  </si>
  <si>
    <t>Weissman, David</t>
  </si>
  <si>
    <t>https://ebookcentral.proquest.com/lib/iuavit/detail.action?docID=6154392</t>
  </si>
  <si>
    <t>The Life and Letters of William Sharp and Fiona Macleod : Volume 2: 1895-1899</t>
  </si>
  <si>
    <t>Publishing; Literature</t>
  </si>
  <si>
    <t>https://ebookcentral.proquest.com/lib/iuavit/detail.action?docID=6175848</t>
  </si>
  <si>
    <t>An Open Secret : The History of Unwanted Pregnancy and Abortion in Modern Bolivia</t>
  </si>
  <si>
    <t>Kimball, Natalie L.</t>
  </si>
  <si>
    <t>HQ767</t>
  </si>
  <si>
    <t>362.1988/800984</t>
  </si>
  <si>
    <t>https://ebookcentral.proquest.com/lib/iuavit/detail.action?docID=6179391</t>
  </si>
  <si>
    <t>Earth 2020 : An Insider's Guide to a Rapidly Changing Planet</t>
  </si>
  <si>
    <t>Tortell, Philippe D.</t>
  </si>
  <si>
    <t>https://ebookcentral.proquest.com/lib/iuavit/detail.action?docID=6184690</t>
  </si>
  <si>
    <t>Margery Spring Rice : Pioneer of Women's Health in the Early Twentieth Century</t>
  </si>
  <si>
    <t>Pollard, Lucy</t>
  </si>
  <si>
    <t>https://ebookcentral.proquest.com/lib/iuavit/detail.action?docID=6184691</t>
  </si>
  <si>
    <t>Creative Multilingualism : A Manifesto</t>
  </si>
  <si>
    <t>Kohl, Katrin;Dudrah, Rajinder;Gosler, Andrew;Graham, Suzanne;Maiden, Martin;Ouyang, Wen-chin</t>
  </si>
  <si>
    <t>https://ebookcentral.proquest.com/lib/iuavit/detail.action?docID=6207711</t>
  </si>
  <si>
    <t>Living Earth Community : Multiple Ways of Being and Knowing</t>
  </si>
  <si>
    <t>Mickey, Sam;Tucker, Mary Evelyn;Grim, John</t>
  </si>
  <si>
    <t>https://ebookcentral.proquest.com/lib/iuavit/detail.action?docID=6207712</t>
  </si>
  <si>
    <t>Studies in Rabbinic Hebrew</t>
  </si>
  <si>
    <t>Heijmans, Shai;</t>
  </si>
  <si>
    <t>Religion; Language/Linguistics</t>
  </si>
  <si>
    <t>https://ebookcentral.proquest.com/lib/iuavit/detail.action?docID=6207713</t>
  </si>
  <si>
    <t>Antisemitism in the North : History and State of Research</t>
  </si>
  <si>
    <t>Adams, Jonathan;Heß, Cordelia</t>
  </si>
  <si>
    <t>https://ebookcentral.proquest.com/lib/iuavit/detail.action?docID=6209771</t>
  </si>
  <si>
    <t>Carbon-Based Smart Materials</t>
  </si>
  <si>
    <t>Charitidis, Constantinos A.;Koumoulos, Elias P.;Dragatogiannis, Dimitrios A.</t>
  </si>
  <si>
    <t>https://ebookcentral.proquest.com/lib/iuavit/detail.action?docID=6209779</t>
  </si>
  <si>
    <t>Literatura Latinoamericana Mundial : Dispositivos y Disidencias</t>
  </si>
  <si>
    <t>Guerrero, Gustavo;Locane, Jorge J.;Loy, Benjamin;Müller, Gesine</t>
  </si>
  <si>
    <t>Spanish; Castilian</t>
  </si>
  <si>
    <t>https://ebookcentral.proquest.com/lib/iuavit/detail.action?docID=6209780</t>
  </si>
  <si>
    <t>Richard Schaukal in Netzwerken und Feldern der Literarischen Moderne</t>
  </si>
  <si>
    <t>Mitterer, Cornelius</t>
  </si>
  <si>
    <t>https://ebookcentral.proquest.com/lib/iuavit/detail.action?docID=6209790</t>
  </si>
  <si>
    <t>Mineral Building Traditions in the Himalayas : The Mineralogical Impact on the Use of Clay As Building Material</t>
  </si>
  <si>
    <t>Feiglstorfer, Hubert</t>
  </si>
  <si>
    <t>Engineering; Engineering: Construction</t>
  </si>
  <si>
    <t>691/.4095496</t>
  </si>
  <si>
    <t>https://ebookcentral.proquest.com/lib/iuavit/detail.action?docID=6209791</t>
  </si>
  <si>
    <t>ReiseSchreiben : Potsdamer Vorlesungen Zur Reiseliteratur</t>
  </si>
  <si>
    <t>Ette, Ottmar</t>
  </si>
  <si>
    <t>https://ebookcentral.proquest.com/lib/iuavit/detail.action?docID=6209792</t>
  </si>
  <si>
    <t>Visualizing the Invisible with the Human Body : Physiognomy and Ekphrasis in the Ancient World</t>
  </si>
  <si>
    <t>Johnson, J. Cale;Stavru, Alessandro</t>
  </si>
  <si>
    <t>https://ebookcentral.proquest.com/lib/iuavit/detail.action?docID=6209801</t>
  </si>
  <si>
    <t>Religious Individualisation : Historical Dimensions and Comparative Perspectives</t>
  </si>
  <si>
    <t>Fuchs, Martin;Linkenbach, Antje;Mulsow, Martin;Otto, Bernd-Christian;Parson, Rahul Bjø;Rüpke, Jörg</t>
  </si>
  <si>
    <t>Religion; Social Science</t>
  </si>
  <si>
    <t>https://ebookcentral.proquest.com/lib/iuavit/detail.action?docID=6209815</t>
  </si>
  <si>
    <t>Prosodie und Konstruktionsgrammatik</t>
  </si>
  <si>
    <t>Imo, Wolfgang;Lanwer, Jens Philipp</t>
  </si>
  <si>
    <t>https://ebookcentral.proquest.com/lib/iuavit/detail.action?docID=6209817</t>
  </si>
  <si>
    <t>Comprehending and Confronting Antisemitism : A Multi-Faceted Approach</t>
  </si>
  <si>
    <t>Lange, Armin;Mayerhofer, Kerstin;Porat, Dina;Schiffman, Lawrence H.</t>
  </si>
  <si>
    <t>https://ebookcentral.proquest.com/lib/iuavit/detail.action?docID=6209824</t>
  </si>
  <si>
    <t>Die Feinen Unterschiede : Kultur, Kunst und Konsum Im Antiken Rom</t>
  </si>
  <si>
    <t>Stein-Hölkeskamp, Elke</t>
  </si>
  <si>
    <t>https://ebookcentral.proquest.com/lib/iuavit/detail.action?docID=6209832</t>
  </si>
  <si>
    <t>German and Dutch in Contrast : Synchronic, Diachronic and Psycholinguistic Perspectives</t>
  </si>
  <si>
    <t>Vogelaer, Gunther;Koster, Dietha;Leuschner, Torsten</t>
  </si>
  <si>
    <t>https://ebookcentral.proquest.com/lib/iuavit/detail.action?docID=6209838</t>
  </si>
  <si>
    <t>Early Printed Narrative Literature in Western Europe</t>
  </si>
  <si>
    <t>Besamusca, Bart;de Bruijn, Elisabeth;Willaert, Frank</t>
  </si>
  <si>
    <t>https://ebookcentral.proquest.com/lib/iuavit/detail.action?docID=6209841</t>
  </si>
  <si>
    <t>The Second World War in the Twenty-First-Century Museum : From Narrative, Memory, and Experience to Experientiality</t>
  </si>
  <si>
    <t>Jaeger, Stephan</t>
  </si>
  <si>
    <t>https://ebookcentral.proquest.com/lib/iuavit/detail.action?docID=6209844</t>
  </si>
  <si>
    <t>Aging Between Participation and Simulation : Ethical Dimensions of Socially Assistive Technologies in Elderly Care</t>
  </si>
  <si>
    <t>Haltaufderheide, Joschka;Hovemann, Johanna;Vollmann, Jochen</t>
  </si>
  <si>
    <t>https://ebookcentral.proquest.com/lib/iuavit/detail.action?docID=6209849</t>
  </si>
  <si>
    <t>Homo Absconditus : Helmuth Plessners Philosophische Anthropologie Im Vergleich</t>
  </si>
  <si>
    <t>Krüger, Hans-Peter</t>
  </si>
  <si>
    <t>https://ebookcentral.proquest.com/lib/iuavit/detail.action?docID=6209856</t>
  </si>
  <si>
    <t>Schreiben Auf Statuarischen Monumenten : Aspekte Materialer Textkultur in Archaischer und Frühklassischer Zeit</t>
  </si>
  <si>
    <t>Dietrich, Nikolaus;Fouquet, Johannes;Reinhardt, Corinna</t>
  </si>
  <si>
    <t>https://ebookcentral.proquest.com/lib/iuavit/detail.action?docID=6209857</t>
  </si>
  <si>
    <t>From Memory to Marble : The Historical Frieze of the Voortrekker Monument Part I: the Frieze</t>
  </si>
  <si>
    <t>Rankin, Elizabeth;Schneider, Rolf Michael</t>
  </si>
  <si>
    <t>https://ebookcentral.proquest.com/lib/iuavit/detail.action?docID=6209862</t>
  </si>
  <si>
    <t>Cosmopolitan Responsibility : Global Injustice, Relational Equality, and Individual Agency</t>
  </si>
  <si>
    <t>Heilinger, Jan-Christoph</t>
  </si>
  <si>
    <t>https://ebookcentral.proquest.com/lib/iuavit/detail.action?docID=6209863</t>
  </si>
  <si>
    <t>Dialekte Machen : Konstruktion und Gebrauch Arealer Varianten Im Kontext Sprachraumbezogener Alltagsdiskurse</t>
  </si>
  <si>
    <t>Schiesser, Alexandra</t>
  </si>
  <si>
    <t>https://ebookcentral.proquest.com/lib/iuavit/detail.action?docID=6209868</t>
  </si>
  <si>
    <t>Verwaltungsrecht in der Klausur</t>
  </si>
  <si>
    <t>Eisentraut, Nikolas</t>
  </si>
  <si>
    <t>https://ebookcentral.proquest.com/lib/iuavit/detail.action?docID=6209869</t>
  </si>
  <si>
    <t>Confucius and Cicero : Old Ideas for a New World, New Ideas for an Old World</t>
  </si>
  <si>
    <t>Balbo, Andrea;Ahn, Jaewon</t>
  </si>
  <si>
    <t>https://ebookcentral.proquest.com/lib/iuavit/detail.action?docID=6209876</t>
  </si>
  <si>
    <t>Material Aspects of Reading in Ancient and Medieval Cultures : Materiality, Presence and Performance</t>
  </si>
  <si>
    <t>Krauß, Anna;Leipziger, Jonas;Schücking-Jungblut, Friederike</t>
  </si>
  <si>
    <t>https://ebookcentral.proquest.com/lib/iuavit/detail.action?docID=6209880</t>
  </si>
  <si>
    <t>The Emergence of Multiple-Text Manuscripts</t>
  </si>
  <si>
    <t>Bausi, Alessandro;Friedrich, Michael;Maniaci, Marilena</t>
  </si>
  <si>
    <t>https://ebookcentral.proquest.com/lib/iuavit/detail.action?docID=6209890</t>
  </si>
  <si>
    <t>Formulaic Language and New Data : Theoretical and Methodological Implications</t>
  </si>
  <si>
    <t>Piirainen, Elisabeth;Filatkina, Natalia;Stumpf, Sören;Pfeiffer, Christian</t>
  </si>
  <si>
    <t>https://ebookcentral.proquest.com/lib/iuavit/detail.action?docID=6209901</t>
  </si>
  <si>
    <t>Zur Geschichte Deutscher Wissenschaftssprachen : Aufsätze, Essays, Vorträge und Die Abhandlung ,,Erkenntnis und Sprache in Goethes Naturwissenschaft</t>
  </si>
  <si>
    <t>Pörksen, Uwe;Schiewe, Jürgen</t>
  </si>
  <si>
    <t>History; Language/Linguistics</t>
  </si>
  <si>
    <t>https://ebookcentral.proquest.com/lib/iuavit/detail.action?docID=6209903</t>
  </si>
  <si>
    <t>The Crisis of the 14th Century : Teleconnections Between Environmental and Societal Change?</t>
  </si>
  <si>
    <t>Bauch, Martin;Schenk, Gerrit Jasper</t>
  </si>
  <si>
    <t>https://ebookcentral.proquest.com/lib/iuavit/detail.action?docID=6209908</t>
  </si>
  <si>
    <t>Barren Women : Religion and Medicine in the Medieval Middle East</t>
  </si>
  <si>
    <t>Verskin, Sara</t>
  </si>
  <si>
    <t>https://ebookcentral.proquest.com/lib/iuavit/detail.action?docID=6209911</t>
  </si>
  <si>
    <t>Le Lettere Di Dante : Ambienti Culturali, Contesti Storici e Circolazione Dei Saperi</t>
  </si>
  <si>
    <t>Montefusco, Antonio;Milani, Giuliano</t>
  </si>
  <si>
    <t>https://ebookcentral.proquest.com/lib/iuavit/detail.action?docID=6209914</t>
  </si>
  <si>
    <t>Migration und Avantgarde : Paris 1917-1962</t>
  </si>
  <si>
    <t>Bung, Stephanie;Zepp, Susanne</t>
  </si>
  <si>
    <t>https://ebookcentral.proquest.com/lib/iuavit/detail.action?docID=6209925</t>
  </si>
  <si>
    <t>The Roll in England and France in the Late Middle Ages : Form and Content</t>
  </si>
  <si>
    <t>Holz, Stefan G.;Peltzer, Jörg;Shirota, Maree</t>
  </si>
  <si>
    <t>https://ebookcentral.proquest.com/lib/iuavit/detail.action?docID=6209927</t>
  </si>
  <si>
    <t>Logiken der Sammlung : Das Archiv Zwischen Strategie und Eigendynamik</t>
  </si>
  <si>
    <t>Dallinger, Petra-Maria;Hofer, Georg</t>
  </si>
  <si>
    <t>https://ebookcentral.proquest.com/lib/iuavit/detail.action?docID=6209931</t>
  </si>
  <si>
    <t>Studies in Semitic Vocalisation and Reading Traditions</t>
  </si>
  <si>
    <t>Hornkohl, Aaron D.;Khan, Geoffrey</t>
  </si>
  <si>
    <t>Language/Linguistics; Religion</t>
  </si>
  <si>
    <t>https://ebookcentral.proquest.com/lib/iuavit/detail.action?docID=6216694</t>
  </si>
  <si>
    <t>A European Public Investment Outlook</t>
  </si>
  <si>
    <t>Cerniglia, Floriana;Saraceno, Francesco</t>
  </si>
  <si>
    <t>https://ebookcentral.proquest.com/lib/iuavit/detail.action?docID=6235479</t>
  </si>
  <si>
    <t>A Lexicon of Medieval Nordic Law</t>
  </si>
  <si>
    <t>Love, Jeffrey;Larsson, Inger;Djärv, Ulrika;;Peel, Christine;Simensen, Erik</t>
  </si>
  <si>
    <t>Language/Linguistics; General Works/Reference; Law</t>
  </si>
  <si>
    <t>https://ebookcentral.proquest.com/lib/iuavit/detail.action?docID=6235480</t>
  </si>
  <si>
    <t>Global Health Economics: Shaping Health Policy In Low- And Middle-income Countries</t>
  </si>
  <si>
    <t>World Scientific Publishing Company</t>
  </si>
  <si>
    <t>Revill, Paul;Suhrcke, Marc;Moreno-serra, Rodrigo;Sculpher, Mark;Goddard, Maria</t>
  </si>
  <si>
    <t>Business/Management; Medicine</t>
  </si>
  <si>
    <t>https://ebookcentral.proquest.com/lib/iuavit/detail.action?docID=6252592</t>
  </si>
  <si>
    <t>Discourses We Live By : Narratives of Educational and Social Endeavour</t>
  </si>
  <si>
    <t>Wright, Hazel R.;Høyen, Marianne</t>
  </si>
  <si>
    <t>Education; Social Science</t>
  </si>
  <si>
    <t>https://ebookcentral.proquest.com/lib/iuavit/detail.action?docID=6259007</t>
  </si>
  <si>
    <t>Jewish-Muslim Intellectual History Entangled : Textual Materials from the Firkovitch Collection, Saint Petersburg</t>
  </si>
  <si>
    <t>Camilla, Adang;Chiesa, Bruno;Hamdan, Omar;Madelung, Wilferd;Schmidtke, Sabine;Thiele, Jan</t>
  </si>
  <si>
    <t>https://ebookcentral.proquest.com/lib/iuavit/detail.action?docID=6288248</t>
  </si>
  <si>
    <t>Simplified Signs : A Manual Sign-Communication System for Special Populations, Volume 1</t>
  </si>
  <si>
    <t>Bonvillian, John D. ;;Lee, Nicole Kissane;Dooley, Tracy T. ;;Loncke, Filip T.</t>
  </si>
  <si>
    <t>Language/Linguistics; Education</t>
  </si>
  <si>
    <t>https://ebookcentral.proquest.com/lib/iuavit/detail.action?docID=6288249</t>
  </si>
  <si>
    <t>Simplified Signs : A Manual Sign-Communication System for Special Populations, Volume 2</t>
  </si>
  <si>
    <t>Education; Language/Linguistics</t>
  </si>
  <si>
    <t>https://ebookcentral.proquest.com/lib/iuavit/detail.action?docID=6288250</t>
  </si>
  <si>
    <t>Sailing from Polis to Empire : Ships in the Eastern Mediterranean During the Hellenistic Period</t>
  </si>
  <si>
    <t>Nantet, Emmanuel;</t>
  </si>
  <si>
    <t>Engineering: General; Engineering</t>
  </si>
  <si>
    <t>https://ebookcentral.proquest.com/lib/iuavit/detail.action?docID=6288251</t>
  </si>
  <si>
    <t>Ecosystem-Based Management, Ecosystem Services and Aquatic Biodiversity : Theory, Tools and Applications</t>
  </si>
  <si>
    <t>O'Higgins, Timothy G.;Lago, Manuel;DeWitt, Theodore H.;O'Higgins, Timothy G.;Lago, Manuel;DeWitt, Theodore H.</t>
  </si>
  <si>
    <t>QH541.5.F7</t>
  </si>
  <si>
    <t>https://ebookcentral.proquest.com/lib/iuavit/detail.action?docID=6308648</t>
  </si>
  <si>
    <t>Bewertung Von Eigentumswohnungen : Entscheidungsorientierte Bewertung Aus Sicht Privater Investoren</t>
  </si>
  <si>
    <t>Springer Fachmedien Wiesbaden GmbH</t>
  </si>
  <si>
    <t>Walochnik, Stephan</t>
  </si>
  <si>
    <t>HF4999.2-6182</t>
  </si>
  <si>
    <t>https://ebookcentral.proquest.com/lib/iuavit/detail.action?docID=6310309</t>
  </si>
  <si>
    <t>Paths : Why Is Life ﬁlled with So Many Detours?</t>
  </si>
  <si>
    <t>Gulyás, András;Heszberger, Zalán;Biró, József</t>
  </si>
  <si>
    <t>QA1-939</t>
  </si>
  <si>
    <t>https://ebookcentral.proquest.com/lib/iuavit/detail.action?docID=6310311</t>
  </si>
  <si>
    <t>Human Challenge Studies in Endemic Settings : Ethical and Regulatory Issues</t>
  </si>
  <si>
    <t>Jamrozik, Euzebiusz;Selgelid, Michael J.</t>
  </si>
  <si>
    <t>QH332</t>
  </si>
  <si>
    <t>https://ebookcentral.proquest.com/lib/iuavit/detail.action?docID=6310312</t>
  </si>
  <si>
    <t>Global Citizenship Education : Critical and International Perspectives</t>
  </si>
  <si>
    <t>Akkari, Abdeljalil;Maleq, Kathrine</t>
  </si>
  <si>
    <t>LB43</t>
  </si>
  <si>
    <t>https://ebookcentral.proquest.com/lib/iuavit/detail.action?docID=6310316</t>
  </si>
  <si>
    <t>The Limits of Art : On Borderline Cases of Artworks and Their Aesthetic Properties</t>
  </si>
  <si>
    <t>Benovsky, Jiri</t>
  </si>
  <si>
    <t>B808.5.A-Z</t>
  </si>
  <si>
    <t>https://ebookcentral.proquest.com/lib/iuavit/detail.action?docID=6310338</t>
  </si>
  <si>
    <t>Water Resource Systems Planning and Management : An Introduction to Methods, Models, and Applications</t>
  </si>
  <si>
    <t>Loucks, Daniel P.;van Beek, Eelco</t>
  </si>
  <si>
    <t>Economics; Engineering; Engineering: Civil; Environmental Studies</t>
  </si>
  <si>
    <t>TA1-2040</t>
  </si>
  <si>
    <t>https://ebookcentral.proquest.com/lib/iuavit/detail.action?docID=6310495</t>
  </si>
  <si>
    <t>Finite Difference Computing with Exponential Decay Models</t>
  </si>
  <si>
    <t>Langtangen, Hans Petter</t>
  </si>
  <si>
    <t>Mathematics; Computer Science/IT</t>
  </si>
  <si>
    <t>https://ebookcentral.proquest.com/lib/iuavit/detail.action?docID=6311257</t>
  </si>
  <si>
    <t>Orthogeriatrics : The Management of Older Patients with Fragility Fractures</t>
  </si>
  <si>
    <t>Falaschi, Paolo;Marsh, David</t>
  </si>
  <si>
    <t>RC952-954.6</t>
  </si>
  <si>
    <t>https://ebookcentral.proquest.com/lib/iuavit/detail.action?docID=6313878</t>
  </si>
  <si>
    <t>Forschendes Lernen : Theorie, Empirie, Praxis</t>
  </si>
  <si>
    <t>Wulf, Carmen;Haberstroh, Susanne;Petersen, Maren</t>
  </si>
  <si>
    <t>L1-991</t>
  </si>
  <si>
    <t>https://ebookcentral.proquest.com/lib/iuavit/detail.action?docID=6313942</t>
  </si>
  <si>
    <t>Global Business Strategy : Multinational Corporations Venturing into Emerging Markets</t>
  </si>
  <si>
    <t>Springer Japan</t>
  </si>
  <si>
    <t>Motohashi, Kazuyuki</t>
  </si>
  <si>
    <t>HF1365</t>
  </si>
  <si>
    <t>https://ebookcentral.proquest.com/lib/iuavit/detail.action?docID=6314336</t>
  </si>
  <si>
    <t>Medical Imaging Systems : An Introductory Guide</t>
  </si>
  <si>
    <t>Maier, Andreas;Steidl, Stefan;Christlein, Vincent;Hornegger, Joachim</t>
  </si>
  <si>
    <t>TA1501-1820</t>
  </si>
  <si>
    <t>https://ebookcentral.proquest.com/lib/iuavit/detail.action?docID=6315606</t>
  </si>
  <si>
    <t>The Coupling of Safety and Security : Exploring Interrelations in Theory and Practice</t>
  </si>
  <si>
    <t>Bieder, Corinne;Pettersen Gould, Kenneth</t>
  </si>
  <si>
    <t>TH9701-9745</t>
  </si>
  <si>
    <t>https://ebookcentral.proquest.com/lib/iuavit/detail.action?docID=6317271</t>
  </si>
  <si>
    <t>Combatting Illicit Trade on the EU Border : A Comparative Perspective</t>
  </si>
  <si>
    <t>Nowak, Celina</t>
  </si>
  <si>
    <t>KJE2041-2635</t>
  </si>
  <si>
    <t>https://ebookcentral.proquest.com/lib/iuavit/detail.action?docID=6320909</t>
  </si>
  <si>
    <t>Technical Universities : Past, Present and Future</t>
  </si>
  <si>
    <t>Geschwind, Lars;Broström, Anders;Larsen, Katarina</t>
  </si>
  <si>
    <t>Education; Science: General</t>
  </si>
  <si>
    <t>LB2300-2799.3</t>
  </si>
  <si>
    <t>Technical institutes.</t>
  </si>
  <si>
    <t>https://ebookcentral.proquest.com/lib/iuavit/detail.action?docID=6321296</t>
  </si>
  <si>
    <t>Service Design Capabilities</t>
  </si>
  <si>
    <t>Morelli, Nicola;de Götzen, Amalia;Simeone, Luca</t>
  </si>
  <si>
    <t>https://ebookcentral.proquest.com/lib/iuavit/detail.action?docID=6321302</t>
  </si>
  <si>
    <t>Sustainable Land Management in a European Context : A Co-Design Approach</t>
  </si>
  <si>
    <t>Weith, Thomas;Barkmann, Tim;Gaasch, Nadin;Rogga, Sebastian;Strauß, Christian;Zscheischler, Jana</t>
  </si>
  <si>
    <t>GE196</t>
  </si>
  <si>
    <t>https://ebookcentral.proquest.com/lib/iuavit/detail.action?docID=6321303</t>
  </si>
  <si>
    <t>Hochwasserminderung Im ländlichen Raum : Ein Handbuch Zur Quantitativen Planung</t>
  </si>
  <si>
    <t>Springer Berlin / Heidelberg</t>
  </si>
  <si>
    <t>Seibert, Simon P.;Auerswald, Karl</t>
  </si>
  <si>
    <t>Science: Geology; Environmental Studies; Political Science</t>
  </si>
  <si>
    <t>https://ebookcentral.proquest.com/lib/iuavit/detail.action?docID=6321305</t>
  </si>
  <si>
    <t>Die Emotionale Erfahrung des Asyls : Lebenswelten Afghanischer Geflüchteter in Berlin</t>
  </si>
  <si>
    <t>Behnam Shad, Klaus</t>
  </si>
  <si>
    <t>https://ebookcentral.proquest.com/lib/iuavit/detail.action?docID=6331579</t>
  </si>
  <si>
    <t>Evidenzbasierter Fledermausschutz in Windkraftvorhaben</t>
  </si>
  <si>
    <t>Voigt, Christian C.</t>
  </si>
  <si>
    <t>QL754</t>
  </si>
  <si>
    <t>https://ebookcentral.proquest.com/lib/iuavit/detail.action?docID=6331588</t>
  </si>
  <si>
    <t>Evaluating Information Retrieval and Access Tasks : NTCIR's Legacy of Research Impact</t>
  </si>
  <si>
    <t>Sakai, Tetsuya;Oard, Douglas W.;Kando, Noriko</t>
  </si>
  <si>
    <t>QA75.5-76.95</t>
  </si>
  <si>
    <t>https://ebookcentral.proquest.com/lib/iuavit/detail.action?docID=6331612</t>
  </si>
  <si>
    <t>Die Business Judgement Rule : Auslegung der Legalit�tspflicht Bei Unklarer Rechtslage</t>
  </si>
  <si>
    <t>Willen, Max</t>
  </si>
  <si>
    <t>https://ebookcentral.proquest.com/lib/iuavit/detail.action?docID=6331614</t>
  </si>
  <si>
    <t>Pflege-Report 2020 : Neuausrichtung Von Versorgung und Finanzierung</t>
  </si>
  <si>
    <t>Jacobs, Klaus;Kuhlmey, Adelheid;Greß, Stefan;Klauber, Jürgen;Schwinger, Antje</t>
  </si>
  <si>
    <t>RA1-1270</t>
  </si>
  <si>
    <t>https://ebookcentral.proquest.com/lib/iuavit/detail.action?docID=6331621</t>
  </si>
  <si>
    <t>Cyber-Physical Systems: a Model-Based Approach</t>
  </si>
  <si>
    <t>Taha, Walid M.;Taha, Abd-Elhamid M.;Thunberg, Johan</t>
  </si>
  <si>
    <t>Engineering: Electrical; Engineering</t>
  </si>
  <si>
    <t>TK7885-7895</t>
  </si>
  <si>
    <t>https://ebookcentral.proquest.com/lib/iuavit/detail.action?docID=6331638</t>
  </si>
  <si>
    <t>Agiles Lernen Im Unternehmen</t>
  </si>
  <si>
    <t>Longmuß, Jörg;Korge, Gabriele;Bauer, Agnes;Höhne, Benjamin</t>
  </si>
  <si>
    <t>HD28-70</t>
  </si>
  <si>
    <t>https://ebookcentral.proquest.com/lib/iuavit/detail.action?docID=6335317</t>
  </si>
  <si>
    <t>Forest and Rangeland Soils of the United States under Changing Conditions : A Comprehensive Science Synthesis</t>
  </si>
  <si>
    <t>Pouyat, Richard V.;Page-Dumroese, Deborah S.;Patel-Weynand, Toral;Geiser, Linda H.</t>
  </si>
  <si>
    <t>QH75-77</t>
  </si>
  <si>
    <t>https://ebookcentral.proquest.com/lib/iuavit/detail.action?docID=6335319</t>
  </si>
  <si>
    <t>Reliability and Validity of International Large-Scale Assessment : Understanding IEA's Comparative Studies of Student Achievement</t>
  </si>
  <si>
    <t>Wagemaker, Hans</t>
  </si>
  <si>
    <t>https://ebookcentral.proquest.com/lib/iuavit/detail.action?docID=6336345</t>
  </si>
  <si>
    <t>Words, Objects and Events in Economics : The Making of Economic Theory</t>
  </si>
  <si>
    <t>Róna, Peter;Zsolnai, László;Wincewicz-Price, Agnieszka</t>
  </si>
  <si>
    <t>B1-5802</t>
  </si>
  <si>
    <t>https://ebookcentral.proquest.com/lib/iuavit/detail.action?docID=6336388</t>
  </si>
  <si>
    <t>Haptics: Science, Technology, Applications : 12th International Conference, EuroHaptics 2020, Leiden, the Netherlands, September 6-9, 2020, Proceedings</t>
  </si>
  <si>
    <t>Nisky, Ilana;Hartcher-O'Brien, Jess;Wiertlewski, Michaël;Smeets, Jeroen;Nisky, Ilana;Hartcher-O'Brien, Jess;Wiertlewski, Michaël;Smeets, Jeroen</t>
  </si>
  <si>
    <t>QA76.9.U83</t>
  </si>
  <si>
    <t>https://ebookcentral.proquest.com/lib/iuavit/detail.action?docID=6340250</t>
  </si>
  <si>
    <t>The Economics of Water : Rules and Institutions</t>
  </si>
  <si>
    <t>Meran, Georg;Siehlow, Markus;von Hirschhausen, Christian</t>
  </si>
  <si>
    <t>HD9502-9502.5</t>
  </si>
  <si>
    <t>https://ebookcentral.proquest.com/lib/iuavit/detail.action?docID=6341113</t>
  </si>
  <si>
    <t>Craftspeople and Designer Makers in the Contemporary Creative Economy</t>
  </si>
  <si>
    <t>Luckman, Susan;Andrew, Jane</t>
  </si>
  <si>
    <t>HM621-656</t>
  </si>
  <si>
    <t>https://ebookcentral.proquest.com/lib/iuavit/detail.action?docID=6350821</t>
  </si>
  <si>
    <t>Co-Creating Digital Public Services for an Ageing Society : Evidence for User-Centric Design</t>
  </si>
  <si>
    <t>Jarke, Juliane</t>
  </si>
  <si>
    <t>Political Science; Health; Social Science</t>
  </si>
  <si>
    <t>JF1315.2-2112</t>
  </si>
  <si>
    <t>https://ebookcentral.proquest.com/lib/iuavit/detail.action?docID=6350855</t>
  </si>
  <si>
    <t>Waltzing Through Europe : Attitudes Towards Couple Dances in the Long Nineteenth Century</t>
  </si>
  <si>
    <t>Bakka, Egil;Buckland, Theresa Jill;Saarikoski, Helena;von Bibra Wharton, Anne</t>
  </si>
  <si>
    <t>https://ebookcentral.proquest.com/lib/iuavit/detail.action?docID=6351026</t>
  </si>
  <si>
    <t>Chronicles from Kashmir : An Annotated, Multimedia Script</t>
  </si>
  <si>
    <t>https://ebookcentral.proquest.com/lib/iuavit/detail.action?docID=6351027</t>
  </si>
  <si>
    <t>Carbon Pricing in Japan</t>
  </si>
  <si>
    <t>Arimura, Toshi H.;Matsumoto, Shigeru</t>
  </si>
  <si>
    <t>https://ebookcentral.proquest.com/lib/iuavit/detail.action?docID=6352741</t>
  </si>
  <si>
    <t>The Demography of Disasters : Impacts for Population and Place</t>
  </si>
  <si>
    <t>Karácsonyi, Dávid;Taylor, Andrew;Bird, Deanne</t>
  </si>
  <si>
    <t>HB848-3697</t>
  </si>
  <si>
    <t>https://ebookcentral.proquest.com/lib/iuavit/detail.action?docID=6352766</t>
  </si>
  <si>
    <t>Life Cycle Management</t>
  </si>
  <si>
    <t>Springer Netherlands</t>
  </si>
  <si>
    <t>Sonnemann, Guido;Margni, Manuele</t>
  </si>
  <si>
    <t>Business/Management; Environmental Studies</t>
  </si>
  <si>
    <t>GE1-350</t>
  </si>
  <si>
    <t>https://ebookcentral.proquest.com/lib/iuavit/detail.action?docID=6354371</t>
  </si>
  <si>
    <t>From Melancholia to Depression : Disordered Mood in Nineteenth-Century Psychiatry</t>
  </si>
  <si>
    <t>Jansson, Åsa</t>
  </si>
  <si>
    <t>HN</t>
  </si>
  <si>
    <t>https://ebookcentral.proquest.com/lib/iuavit/detail.action?docID=6355554</t>
  </si>
  <si>
    <t>Pluralistic Struggles in Gender, Sexuality and Coloniality : Challenging Swedish Exceptionalism</t>
  </si>
  <si>
    <t>Alm, Erika;Berg, Linda;Lundahl Hero, Mikela;Johansson, Anna;Laskar, Pia;Martinsson, Lena;Mulinari, Diana;Wasshede, Cathrin</t>
  </si>
  <si>
    <t>GN301-674</t>
  </si>
  <si>
    <t>https://ebookcentral.proquest.com/lib/iuavit/detail.action?docID=6355622</t>
  </si>
  <si>
    <t>A Philosophical Examination of Social Justice and Child Poverty</t>
  </si>
  <si>
    <t>Palgrave Macmillan UK</t>
  </si>
  <si>
    <t>Schweiger, G.;Graf, G.</t>
  </si>
  <si>
    <t>https://ebookcentral.proquest.com/lib/iuavit/detail.action?docID=6360853</t>
  </si>
  <si>
    <t>When Can Oil Economies Be Deemed Sustainable?</t>
  </si>
  <si>
    <t>Luciani, Giacomo;Moerenhout, Tom</t>
  </si>
  <si>
    <t>Political Science; Environmental Studies; Economics</t>
  </si>
  <si>
    <t>JZ1252</t>
  </si>
  <si>
    <t>https://ebookcentral.proquest.com/lib/iuavit/detail.action?docID=6362076</t>
  </si>
  <si>
    <t>Technology, Design and the Arts - Opportunities and Challenges</t>
  </si>
  <si>
    <t>Earnshaw, Rae;Liggett, Susan;Excell, Peter;Thalmann, Daniel</t>
  </si>
  <si>
    <t>https://ebookcentral.proquest.com/lib/iuavit/detail.action?docID=6363081</t>
  </si>
  <si>
    <t>Rewilding European Landscapes</t>
  </si>
  <si>
    <t>Pereira, Henrique M.;Navarro, Laetitia M.</t>
  </si>
  <si>
    <t>Economics; Environmental Studies</t>
  </si>
  <si>
    <t>https://ebookcentral.proquest.com/lib/iuavit/detail.action?docID=6363086</t>
  </si>
  <si>
    <t>New Horizons for a Data-Driven Economy : A Roadmap for Usage and Exploitation of Big Data in Europe</t>
  </si>
  <si>
    <t>Cavanillas, José María;Curry, Edward;Wahlster, Wolfgang</t>
  </si>
  <si>
    <t>https://ebookcentral.proquest.com/lib/iuavit/detail.action?docID=6363088</t>
  </si>
  <si>
    <t>The GEO Handbook on Biodiversity Observation Networks</t>
  </si>
  <si>
    <t>Walters, Michele;Scholes, Robert J.</t>
  </si>
  <si>
    <t>QH301-705</t>
  </si>
  <si>
    <t>https://ebookcentral.proquest.com/lib/iuavit/detail.action?docID=6363092</t>
  </si>
  <si>
    <t>The Sustainability of Agro-Food and Natural Resource Systems in the Mediterranean Basin</t>
  </si>
  <si>
    <t>Vastola, Antonella</t>
  </si>
  <si>
    <t>https://ebookcentral.proquest.com/lib/iuavit/detail.action?docID=6363097</t>
  </si>
  <si>
    <t>The Plight of Older Workers : Labor Market Experience after Plant Closure in the Swiss Manufacturing Sector</t>
  </si>
  <si>
    <t>Baumann, Isabel</t>
  </si>
  <si>
    <t>HM548</t>
  </si>
  <si>
    <t>https://ebookcentral.proquest.com/lib/iuavit/detail.action?docID=6363098</t>
  </si>
  <si>
    <t>Optics in Our Time</t>
  </si>
  <si>
    <t>Al-Amri, Mohammad D.;El-Gomati, Mohamed;Zubairy, M. Suhail</t>
  </si>
  <si>
    <t>QC685-689.55</t>
  </si>
  <si>
    <t>https://ebookcentral.proquest.com/lib/iuavit/detail.action?docID=6363101</t>
  </si>
  <si>
    <t>Communicating, Networking: Interacting : The International Year of Global Understanding - IYGU</t>
  </si>
  <si>
    <t>Robertson, Margaret E.</t>
  </si>
  <si>
    <t>P87-96</t>
  </si>
  <si>
    <t>https://ebookcentral.proquest.com/lib/iuavit/detail.action?docID=6363103</t>
  </si>
  <si>
    <t>Marine Anthropogenic Litter</t>
  </si>
  <si>
    <t>Bergmann, Melanie;Gutow, Lars;Klages, Michael</t>
  </si>
  <si>
    <t>Science; Environmental Studies; Science: Biology/Natural History</t>
  </si>
  <si>
    <t>https://ebookcentral.proquest.com/lib/iuavit/detail.action?docID=6363104</t>
  </si>
  <si>
    <t>Remote Sensing of Plant Biodiversity</t>
  </si>
  <si>
    <t>Cavender-Bares, Jeannine;Gamon, John A.;Townsend, Philip A.</t>
  </si>
  <si>
    <t>QH541.15.B56</t>
  </si>
  <si>
    <t>https://ebookcentral.proquest.com/lib/iuavit/detail.action?docID=6363108</t>
  </si>
  <si>
    <t>Becoming a World-Class University : The Case of King Abdulaziz University</t>
  </si>
  <si>
    <t>Tayeb, Osama;Zahed, Adnan;Ritzen, Jozef</t>
  </si>
  <si>
    <t>https://ebookcentral.proquest.com/lib/iuavit/detail.action?docID=6363109</t>
  </si>
  <si>
    <t>South-North Migration of EU Citizens in Times of Crisis</t>
  </si>
  <si>
    <t>Lafleur, Jean-Michel;Stanek, Mikolaj</t>
  </si>
  <si>
    <t>JV6001-9480</t>
  </si>
  <si>
    <t>https://ebookcentral.proquest.com/lib/iuavit/detail.action?docID=6363110</t>
  </si>
  <si>
    <t>Has Latin American Inequality Changed Direction? : Looking over the Long Run</t>
  </si>
  <si>
    <t>Bértola, Luis;Williamson, Jeffrey</t>
  </si>
  <si>
    <t>HC</t>
  </si>
  <si>
    <t>https://ebookcentral.proquest.com/lib/iuavit/detail.action?docID=6363125</t>
  </si>
  <si>
    <t>Innovations in Quantitative Risk Management : TU München, September 2013</t>
  </si>
  <si>
    <t>Glau, Kathrin;Scherer, Matthias;Zagst, Rudi</t>
  </si>
  <si>
    <t>https://ebookcentral.proquest.com/lib/iuavit/detail.action?docID=6363127</t>
  </si>
  <si>
    <t>Higher Education Reforms in Romania : Between the Bologna Process and National Challenges</t>
  </si>
  <si>
    <t>Curaj, Adrian;Deca, Ligia;Egron-Polak, Eva;Salmi, Jamil</t>
  </si>
  <si>
    <t>https://ebookcentral.proquest.com/lib/iuavit/detail.action?docID=6363131</t>
  </si>
  <si>
    <t>Biotechnologies for Plant Mutation Breeding : Protocols</t>
  </si>
  <si>
    <t>Jankowicz-Cieslak, Joanna;Tai, Thomas H.;Kumlehn, Jochen;Till, Bradley J.</t>
  </si>
  <si>
    <t>Engineering: Chemical; Engineering</t>
  </si>
  <si>
    <t>TP248.27.P55</t>
  </si>
  <si>
    <t>https://ebookcentral.proquest.com/lib/iuavit/detail.action?docID=6363132</t>
  </si>
  <si>
    <t>Melting Hadrons, Boiling Quarks - from Hagedorn Temperature to Ultra-Relativistic Heavy-Ion Collisions at CERN : With a Tribute to Rolf Hagedorn</t>
  </si>
  <si>
    <t>Rafelski, Johann</t>
  </si>
  <si>
    <t>QC1-75</t>
  </si>
  <si>
    <t>https://ebookcentral.proquest.com/lib/iuavit/detail.action?docID=6363134</t>
  </si>
  <si>
    <t>Evidence-Based Positron Emission Tomography : Summary of Recent Meta-Analyses on PET</t>
  </si>
  <si>
    <t>Treglia, Giorgio;Giovanella, Luca</t>
  </si>
  <si>
    <t>R895-920</t>
  </si>
  <si>
    <t>https://ebookcentral.proquest.com/lib/iuavit/detail.action?docID=6363136</t>
  </si>
  <si>
    <t>Teacher Quality, Instructional Quality and Student Outcomes : Relationships Across Countries, Cohorts and Time</t>
  </si>
  <si>
    <t>Nilsen, Trude;Gustafsson, Jan-Eric</t>
  </si>
  <si>
    <t>https://ebookcentral.proquest.com/lib/iuavit/detail.action?docID=6363137</t>
  </si>
  <si>
    <t>Intertwingled : The Work and Influence of Ted Nelson</t>
  </si>
  <si>
    <t>Dechow, Douglas R.;Struppa, Daniele C.</t>
  </si>
  <si>
    <t>QA76.17</t>
  </si>
  <si>
    <t>https://ebookcentral.proquest.com/lib/iuavit/detail.action?docID=6363139</t>
  </si>
  <si>
    <t>Contemporary Bioethics : Islamic Perspective</t>
  </si>
  <si>
    <t>Al-Bar, Mohammed Ali;Chamsi-Pasha, Hassan</t>
  </si>
  <si>
    <t>RB155-155.8</t>
  </si>
  <si>
    <t>https://ebookcentral.proquest.com/lib/iuavit/detail.action?docID=6363140</t>
  </si>
  <si>
    <t>China: Surpassing the Middle Income Trap</t>
  </si>
  <si>
    <t>Zhou, Shaojie;Hu, Angang</t>
  </si>
  <si>
    <t>HC411-495</t>
  </si>
  <si>
    <t>https://ebookcentral.proquest.com/lib/iuavit/detail.action?docID=6363143</t>
  </si>
  <si>
    <t>Psychometric Framework for Modeling Parental Involvement and Reading Literacy</t>
  </si>
  <si>
    <t>Punter, R. Annemiek;Glas, Cees A. W.;Meelissen, Martina R. M.</t>
  </si>
  <si>
    <t>https://ebookcentral.proquest.com/lib/iuavit/detail.action?docID=6363147</t>
  </si>
  <si>
    <t>Research Assessment in the Humanities : Towards Criteria and Procedures</t>
  </si>
  <si>
    <t>Ochsner, Michael;Hug, Sven E.;Daniel, Hans-Dieter</t>
  </si>
  <si>
    <t>General Works/Reference; Education</t>
  </si>
  <si>
    <t>https://ebookcentral.proquest.com/lib/iuavit/detail.action?docID=6363149</t>
  </si>
  <si>
    <t>River Basin Development and Human Rights in Eastern Africa -- a Policy Crossroads</t>
  </si>
  <si>
    <t>Carr, Claudia J.</t>
  </si>
  <si>
    <t>Economics; Law; Environmental Studies</t>
  </si>
  <si>
    <t>K3236-3268.5</t>
  </si>
  <si>
    <t>https://ebookcentral.proquest.com/lib/iuavit/detail.action?docID=6363154</t>
  </si>
  <si>
    <t>Safer Healthcare : Strategies for the Real World</t>
  </si>
  <si>
    <t>Vincent, Charles;Amalberti, René</t>
  </si>
  <si>
    <t>RA5</t>
  </si>
  <si>
    <t>https://ebookcentral.proquest.com/lib/iuavit/detail.action?docID=6363157</t>
  </si>
  <si>
    <t>The Geopolitics of the Global Energy Transition</t>
  </si>
  <si>
    <t>Hafner, Manfred;Tagliapietra, Simone</t>
  </si>
  <si>
    <t>JZ2-6530</t>
  </si>
  <si>
    <t>https://ebookcentral.proquest.com/lib/iuavit/detail.action?docID=6363163</t>
  </si>
  <si>
    <t>Opening Science : The Evolving Guide on How the Internet Is Changing Research, Collaboration and Scholarly Publishing</t>
  </si>
  <si>
    <t>Friesike, Sascha;Bartling, Sönke</t>
  </si>
  <si>
    <t>https://ebookcentral.proquest.com/lib/iuavit/detail.action?docID=6363164</t>
  </si>
  <si>
    <t>Computation and the Humanities : Towards an Oral History of Digital Humanities</t>
  </si>
  <si>
    <t>Nyhan, Julianne;Flinn, Andrew</t>
  </si>
  <si>
    <t>https://ebookcentral.proquest.com/lib/iuavit/detail.action?docID=6363170</t>
  </si>
  <si>
    <t>European Guide to Power System Testing : The ERIGrid Holistic Approach for Evaluating Complex Smart Grid Configurations</t>
  </si>
  <si>
    <t>Strasser, Thomas I.;de Jong, Erik C. W.;Sosnina, Maria</t>
  </si>
  <si>
    <t>TK1001-1841</t>
  </si>
  <si>
    <t>https://ebookcentral.proquest.com/lib/iuavit/detail.action?docID=6363174</t>
  </si>
  <si>
    <t>The Interconnected Arctic -- UArctic Congress 2016</t>
  </si>
  <si>
    <t>Latola, Kirsi;Savela, Hannele</t>
  </si>
  <si>
    <t>Environmental Studies; History</t>
  </si>
  <si>
    <t>GE300-350</t>
  </si>
  <si>
    <t>https://ebookcentral.proquest.com/lib/iuavit/detail.action?docID=6367471</t>
  </si>
  <si>
    <t>Infrastructure and Economic Growth in Asia</t>
  </si>
  <si>
    <t>Cockburn, John;Dissou, Yazid;Duclos, Jean-Yves;Tiberti, Luca</t>
  </si>
  <si>
    <t>HD72-88</t>
  </si>
  <si>
    <t>https://ebookcentral.proquest.com/lib/iuavit/detail.action?docID=6367798</t>
  </si>
  <si>
    <t>Ecological Risk Assessment for Chlorpyrifos in Terrestrial and Aquatic Systems in the United States</t>
  </si>
  <si>
    <t>Giesy, John P.;Solomon, Keith R.</t>
  </si>
  <si>
    <t>https://ebookcentral.proquest.com/lib/iuavit/detail.action?docID=6367905</t>
  </si>
  <si>
    <t>High Mountain Conservation in a Changing World</t>
  </si>
  <si>
    <t>Catalan, Jordi;Ninot, Josep M.;Aniz, M. Mercè</t>
  </si>
  <si>
    <t>https://ebookcentral.proquest.com/lib/iuavit/detail.action?docID=6367927</t>
  </si>
  <si>
    <t>The South Texas Health Status Review : A Health Disparities Roadmap</t>
  </si>
  <si>
    <t>Ramirez, Amelie G.;Thompson, Ian M.;Vela, Leonel</t>
  </si>
  <si>
    <t>https://ebookcentral.proquest.com/lib/iuavit/detail.action?docID=6367944</t>
  </si>
  <si>
    <t>The Challenge of Chance : A Multidisciplinary Approach from Science and the Humanities</t>
  </si>
  <si>
    <t>Landsman, Klaas;van Wolde, Ellen</t>
  </si>
  <si>
    <t>Q174-175.3</t>
  </si>
  <si>
    <t>https://ebookcentral.proquest.com/lib/iuavit/detail.action?docID=6367945</t>
  </si>
  <si>
    <t>The Cellular Automaton Interpretation of Quantum Mechanics</t>
  </si>
  <si>
    <t>'t Hooft, Gerard</t>
  </si>
  <si>
    <t>QC173.96-174.52</t>
  </si>
  <si>
    <t>https://ebookcentral.proquest.com/lib/iuavit/detail.action?docID=6367947</t>
  </si>
  <si>
    <t>Agile Processes in Software Engineering and Extreme Programming : 21st International Conference on Agile Software Development, XP 2020, Copenhagen, Denmark, June 8-12, 2020, Proceedings</t>
  </si>
  <si>
    <t>Stray, Viktoria;Hoda, Rashina;Paasivaara, Maria;Kruchten, Philippe</t>
  </si>
  <si>
    <t>QA76.758</t>
  </si>
  <si>
    <t>https://ebookcentral.proquest.com/lib/iuavit/detail.action?docID=6367948</t>
  </si>
  <si>
    <t>New Methods for Measuring and Analyzing Segregation</t>
  </si>
  <si>
    <t>Fossett, Mark</t>
  </si>
  <si>
    <t>https://ebookcentral.proquest.com/lib/iuavit/detail.action?docID=6367949</t>
  </si>
  <si>
    <t>Integrated Groundwater Management : Concepts, Approaches and Challenges</t>
  </si>
  <si>
    <t>Jakeman, Anthony J.;Barreteau, Olivier;Hunt, Randall J.;Rinaudo, Jean-Daniel;Ross, Andrew</t>
  </si>
  <si>
    <t>Environmental Studies; Science: Geology; Science; Economics</t>
  </si>
  <si>
    <t>QE1-996.5</t>
  </si>
  <si>
    <t>https://ebookcentral.proquest.com/lib/iuavit/detail.action?docID=6367961</t>
  </si>
  <si>
    <t>Fading Foundations : Probability and the Regress Problem</t>
  </si>
  <si>
    <t>Atkinson, David;Peijnenburg, Jeanne</t>
  </si>
  <si>
    <t>BD143-237</t>
  </si>
  <si>
    <t>https://ebookcentral.proquest.com/lib/iuavit/detail.action?docID=6367962</t>
  </si>
  <si>
    <t>Ethics Dumping : Case Studies from North-South Research Collaborations</t>
  </si>
  <si>
    <t>Schroeder, Doris;Cook, Julie;Hirsch, François;Fenet, Solveig;Muthuswamy, Vasantha</t>
  </si>
  <si>
    <t>Q175.35-.37</t>
  </si>
  <si>
    <t>https://ebookcentral.proquest.com/lib/iuavit/detail.action?docID=6367968</t>
  </si>
  <si>
    <t>Physiology, Psychoacoustics and Cognition in Normal and Impaired Hearing</t>
  </si>
  <si>
    <t>van Dijk, Pim;Başkent, Deniz;Gaudrain, Etienne;de Kleine, Emile;Wagner, Anita;Lanting, Cris</t>
  </si>
  <si>
    <t>Medicine; Science: Biology/Natural History; Science</t>
  </si>
  <si>
    <t>RC321-580</t>
  </si>
  <si>
    <t>https://ebookcentral.proquest.com/lib/iuavit/detail.action?docID=6367970</t>
  </si>
  <si>
    <t>The Bavarian Commentary and Ovid : Clm 4610, the Earliest Documented Commentary on The 'Metamorphoses'</t>
  </si>
  <si>
    <t>Wahlsten Böckerman, Robin</t>
  </si>
  <si>
    <t>https://ebookcentral.proquest.com/lib/iuavit/detail.action?docID=6368222</t>
  </si>
  <si>
    <t>The Life and Letters of William Sharp and Fiona Macleod : Volume 3: 1900-1905</t>
  </si>
  <si>
    <t>https://ebookcentral.proquest.com/lib/iuavit/detail.action?docID=6368223</t>
  </si>
  <si>
    <t>Liminal Spaces : Migration and Women of the Guyanese Diaspora</t>
  </si>
  <si>
    <t>Ali, Grace Aneiza</t>
  </si>
  <si>
    <t>https://ebookcentral.proquest.com/lib/iuavit/detail.action?docID=6368224</t>
  </si>
  <si>
    <t>Research, Ethics and Risk in the Authoritarian Field</t>
  </si>
  <si>
    <t>Glasius, Marlies;de Lange, Meta;Bartman, Jos;Dalmasso, Emanuela;Lv, Aofei;Del Sordi, Adele;Michaelsen, Marcus;Ruijgrok, Kris</t>
  </si>
  <si>
    <t>JA1-92</t>
  </si>
  <si>
    <t>https://ebookcentral.proquest.com/lib/iuavit/detail.action?docID=6369353</t>
  </si>
  <si>
    <t>Care in Healthcare : Reflections on Theory and Practice</t>
  </si>
  <si>
    <t>Krause, Franziska;Boldt, Joachim</t>
  </si>
  <si>
    <t>https://ebookcentral.proquest.com/lib/iuavit/detail.action?docID=6369355</t>
  </si>
  <si>
    <t>Railway Ecology</t>
  </si>
  <si>
    <t>Borda-de-Água, Luís;Barrientos, Rafael;Beja, Pedro;Pereira, Henrique Miguel</t>
  </si>
  <si>
    <t>https://ebookcentral.proquest.com/lib/iuavit/detail.action?docID=6369359</t>
  </si>
  <si>
    <t>Investigating the Body in the Victorian Asylum : Doctors, Patients, and Practices</t>
  </si>
  <si>
    <t>Wallis, Jennifer</t>
  </si>
  <si>
    <t>https://ebookcentral.proquest.com/lib/iuavit/detail.action?docID=6369363</t>
  </si>
  <si>
    <t>Dignity in the 21st Century : Middle East and West</t>
  </si>
  <si>
    <t>Schroeder, Doris;Bani-Sadr, Abol‐Hassan</t>
  </si>
  <si>
    <t>BJ1-1725</t>
  </si>
  <si>
    <t>https://ebookcentral.proquest.com/lib/iuavit/detail.action?docID=6369364</t>
  </si>
  <si>
    <t>Spanish Economic Growth, 1850-2015</t>
  </si>
  <si>
    <t>Prados de la Escosura, Leandro</t>
  </si>
  <si>
    <t>https://ebookcentral.proquest.com/lib/iuavit/detail.action?docID=6369366</t>
  </si>
  <si>
    <t>Beyond Safety Training : Embedding Safety in Professional Skills</t>
  </si>
  <si>
    <t>Bieder, Corinne;Gilbert, Claude;Journé, Benoît;Laroche, Hervé</t>
  </si>
  <si>
    <t>https://ebookcentral.proquest.com/lib/iuavit/detail.action?docID=6369367</t>
  </si>
  <si>
    <t>Promoting Active Citizenship : Markets and Choice in Scandinavian Welfare</t>
  </si>
  <si>
    <t>Sivesind, Karl Henrik;Saglie, Jo</t>
  </si>
  <si>
    <t>https://ebookcentral.proquest.com/lib/iuavit/detail.action?docID=6369374</t>
  </si>
  <si>
    <t>The Innovation Revolution in Agriculture : A Roadmap to Value Creation</t>
  </si>
  <si>
    <t>Campos, Hugo</t>
  </si>
  <si>
    <t>S1-972</t>
  </si>
  <si>
    <t>https://ebookcentral.proquest.com/lib/iuavit/detail.action?docID=6369633</t>
  </si>
  <si>
    <t>Vegetable Grafting : Principles and Practices</t>
  </si>
  <si>
    <t>CAB International</t>
  </si>
  <si>
    <t>Colla, Giuseppe;Pérez-Alfocea, Francisco;Schwarz, Dietmar;Albacete, Alfonso;Nawaz, M. A.;Bebeli, Penelope J.;Ben-Hur, Meni;Bie, Zhilong;Calatayud, Angeles;Cohen, Roni</t>
  </si>
  <si>
    <t>https://ebookcentral.proquest.com/lib/iuavit/detail.action?docID=6371484</t>
  </si>
  <si>
    <t>Review of Invertebrate Biological Control Agents Introduced into Europe</t>
  </si>
  <si>
    <t>Gerber, Esther;Schaffner, Urs</t>
  </si>
  <si>
    <t>632/.96094</t>
  </si>
  <si>
    <t>https://ebookcentral.proquest.com/lib/iuavit/detail.action?docID=6371485</t>
  </si>
  <si>
    <t>Legumes in Cropping Systems</t>
  </si>
  <si>
    <t>Murphy-Bokern, Donal;Stoddard, Fred;Watson, Christine</t>
  </si>
  <si>
    <t>https://ebookcentral.proquest.com/lib/iuavit/detail.action?docID=6371486</t>
  </si>
  <si>
    <t>New Land, New Life : A Success Story of New Land Resettlement in Bangladesh</t>
  </si>
  <si>
    <t>Jenkins, Andrew;Haider, Natasha;Karim, Bazlul;Chakraborty, Mihir Kumar;Sarker, Kiran Sankar;Karim, Rezaul;Islam, Robiul;Begum, Nujulee;Mallorie, Edward;Wilde, Koen de</t>
  </si>
  <si>
    <t>HD1131</t>
  </si>
  <si>
    <t>Land settlement--Bangladesh. ; Land settlement. ; Bangladesh.</t>
  </si>
  <si>
    <t>https://ebookcentral.proquest.com/lib/iuavit/detail.action?docID=6371487</t>
  </si>
  <si>
    <t>Building Agricultural Extension Capacity in Post-Conflict Settings</t>
  </si>
  <si>
    <t>McNamara, Paul;Moore, Austen;Christoplos, Ian;Edney, Kirk;Gêmo, Hélder R.;Hanagriff, Roger;Jayatilaka, M. W. A. P.;King, Joseph;Klein, Linda R.;Madden, Nicholaus M.</t>
  </si>
  <si>
    <t>https://ebookcentral.proquest.com/lib/iuavit/detail.action?docID=6371488</t>
  </si>
  <si>
    <t>Global Health Research in an Unequal World : Ethics Case Studies from Africa</t>
  </si>
  <si>
    <t>Aellah, Gemma;Chantler, Tracey;Geissler, P. Wenzel;Ondiek, Johnson</t>
  </si>
  <si>
    <t>https://ebookcentral.proquest.com/lib/iuavit/detail.action?docID=6371489</t>
  </si>
  <si>
    <t>Introducing Vigilant Audiences</t>
  </si>
  <si>
    <t>Trottier, Daniel;Gabdulhakov, Rashid;Huang, Qian</t>
  </si>
  <si>
    <t>https://ebookcentral.proquest.com/lib/iuavit/detail.action?docID=6374613</t>
  </si>
  <si>
    <t>Making up Numbers : A History of Invention in Mathematics</t>
  </si>
  <si>
    <t>Kopp, Ekkehard</t>
  </si>
  <si>
    <t>https://ebookcentral.proquest.com/lib/iuavit/detail.action?docID=6379906</t>
  </si>
  <si>
    <t>B C, Before Computers : On Information Technology from Writing to the Age of Digital Data</t>
  </si>
  <si>
    <t>Robertson, Stephen</t>
  </si>
  <si>
    <t>https://ebookcentral.proquest.com/lib/iuavit/detail.action?docID=6379907</t>
  </si>
  <si>
    <t>Affirmative Aesthetics and Wilful Women : Gender, Space and Mobility in Contemporary Cinema</t>
  </si>
  <si>
    <t>Ceuterick, Maud</t>
  </si>
  <si>
    <t>PN1995</t>
  </si>
  <si>
    <t>https://ebookcentral.proquest.com/lib/iuavit/detail.action?docID=6380808</t>
  </si>
  <si>
    <t>International Labour Organization and Global Social Governance</t>
  </si>
  <si>
    <t>Halonen, Tarja;Liukkunen, Ulla</t>
  </si>
  <si>
    <t>K1700-1973</t>
  </si>
  <si>
    <t>https://ebookcentral.proquest.com/lib/iuavit/detail.action?docID=6380891</t>
  </si>
  <si>
    <t>Script Effects As the Hidden Drive of the Mind, Cognition, and Culture</t>
  </si>
  <si>
    <t>Pae, Hye K.;Perfetti, Charles A.</t>
  </si>
  <si>
    <t>LC149-161</t>
  </si>
  <si>
    <t>https://ebookcentral.proquest.com/lib/iuavit/detail.action?docID=6380914</t>
  </si>
  <si>
    <t>Illiberal Trends and Anti-EU Politics in East Central Europe</t>
  </si>
  <si>
    <t>Lorenz, Astrid;Anders, Lisa H.</t>
  </si>
  <si>
    <t>https://ebookcentral.proquest.com/lib/iuavit/detail.action?docID=6381012</t>
  </si>
  <si>
    <t>Chemical Youth : Navigating Uncertainty in Search of the Good Life</t>
  </si>
  <si>
    <t>Hardon, Anita</t>
  </si>
  <si>
    <t>https://ebookcentral.proquest.com/lib/iuavit/detail.action?docID=6381122</t>
  </si>
  <si>
    <t>Future Space-Transport-System Components under High Thermal and Mechanical Loads : Results from the DFG Collaborative Research Center TRR40</t>
  </si>
  <si>
    <t>Adams, Nikolaus A.;Schröder, Wolfgang;Radespiel, Rolf;Haidn, Oskar J.;Sattelmayer, Thomas;Stemmer, Christian;Weigand, Bernhard</t>
  </si>
  <si>
    <t>TA357-359</t>
  </si>
  <si>
    <t>https://ebookcentral.proquest.com/lib/iuavit/detail.action?docID=6381145</t>
  </si>
  <si>
    <t>Demystifying Climate Models : A Users Guide to Earth System Models</t>
  </si>
  <si>
    <t>Gettelman, Andrew;Rood, Richard B.</t>
  </si>
  <si>
    <t>Science: Geology; Engineering: Civil; Engineering; Science</t>
  </si>
  <si>
    <t>https://ebookcentral.proquest.com/lib/iuavit/detail.action?docID=6381169</t>
  </si>
  <si>
    <t>Re-Configurations : Contextualising Transformation Processes and Lasting Crises in the Middle East and North Africa</t>
  </si>
  <si>
    <t>Ouaissa, Rachid;Pannewick, Friederike;Strohmaier, Alena</t>
  </si>
  <si>
    <t>JQ1758-1852</t>
  </si>
  <si>
    <t>https://ebookcentral.proquest.com/lib/iuavit/detail.action?docID=6381176</t>
  </si>
  <si>
    <t>Data Privacy and Trust in Cloud Computing : Building Trust in the Cloud Through Assurance and Accountability</t>
  </si>
  <si>
    <t>Lynn, Theo;Mooney, John G.;van der Werff, Lisa;Fox, Grace</t>
  </si>
  <si>
    <t>Business/Management; Computer Science/IT</t>
  </si>
  <si>
    <t>HD45</t>
  </si>
  <si>
    <t>https://ebookcentral.proquest.com/lib/iuavit/detail.action?docID=6381237</t>
  </si>
  <si>
    <t>Semantic Systems. in the Era of Knowledge Graphs : 16th International Conference on Semantic Systems, SEMANTiCS 2020, Amsterdam, the Netherlands, September 7-10, 2020, Proceedings</t>
  </si>
  <si>
    <t>Blomqvist, Eva;Groth, Paul;de Boer, Victor;Pellegrini, Tassilo;Alam, Mehwish;Käfer, Tobias;Kieseberg, Peter;Kirrane, Sabrina;Meroño-Peñuela, Albert;Pandit, Harshvardhan J.</t>
  </si>
  <si>
    <t>QA76.76.E95</t>
  </si>
  <si>
    <t>https://ebookcentral.proquest.com/lib/iuavit/detail.action?docID=6381274</t>
  </si>
  <si>
    <t>Beyond Media Borders, Volume 2 : Intermedial Relations among Multimodal Media</t>
  </si>
  <si>
    <t>Elleström, Lars</t>
  </si>
  <si>
    <t>https://ebookcentral.proquest.com/lib/iuavit/detail.action?docID=6381290</t>
  </si>
  <si>
    <t>Beyond Media Borders, Volume 1 : Intermedial Relations among Multimodal Media</t>
  </si>
  <si>
    <t>https://ebookcentral.proquest.com/lib/iuavit/detail.action?docID=6381308</t>
  </si>
  <si>
    <t>Ethics and Drug Resistance: Collective Responsibility for Global Public Health</t>
  </si>
  <si>
    <t>Jamrozik, Euzebiusz;Selgelid, Michael</t>
  </si>
  <si>
    <t>https://ebookcentral.proquest.com/lib/iuavit/detail.action?docID=6381407</t>
  </si>
  <si>
    <t>International Symposium on Mathematics, Quantum Theory, and Cryptography : Proceedings of MQC 2019</t>
  </si>
  <si>
    <t>Takagi, Tsuyoshi;Wakayama, Masato;Tanaka, Keisuke;Kunihiro, Noboru;Kimoto, Kazufumi;Ikematsu, Yasuhiko</t>
  </si>
  <si>
    <t>Engineering: Civil; Engineering</t>
  </si>
  <si>
    <t>TA329-348</t>
  </si>
  <si>
    <t>https://ebookcentral.proquest.com/lib/iuavit/detail.action?docID=6381426</t>
  </si>
  <si>
    <t>Quantization on Nilpotent Lie Groups</t>
  </si>
  <si>
    <t>Fischer, Veronique;Ruzhansky, Michael</t>
  </si>
  <si>
    <t>QA252.3</t>
  </si>
  <si>
    <t>https://ebookcentral.proquest.com/lib/iuavit/detail.action?docID=6381442</t>
  </si>
  <si>
    <t>The Economics of Big Science : Essays by Leading Scientists and Policymakers</t>
  </si>
  <si>
    <t>Beck, Hans Peter;Charitos, Panagiotis;Heuer, Rolf-Dieter</t>
  </si>
  <si>
    <t>QC770-798</t>
  </si>
  <si>
    <t>https://ebookcentral.proquest.com/lib/iuavit/detail.action?docID=6381988</t>
  </si>
  <si>
    <t>Migration and Social Protection in Europe and Beyond (Volume 1) : Comparing Access to Welfare Entitlements</t>
  </si>
  <si>
    <t>Lafleur, Jean-Michel;Vintila, Daniela</t>
  </si>
  <si>
    <t>https://ebookcentral.proquest.com/lib/iuavit/detail.action?docID=6382137</t>
  </si>
  <si>
    <t>Modeling Excitable Tissue : The EMI Framework</t>
  </si>
  <si>
    <t>Tveito, Aslak;Mardal, Kent-Andre;Rognes, Marie E.</t>
  </si>
  <si>
    <t>QH323.5</t>
  </si>
  <si>
    <t>https://ebookcentral.proquest.com/lib/iuavit/detail.action?docID=6382138</t>
  </si>
  <si>
    <t>Modes of Bio-Bordering : The Hidden (Dis)integration of Europe</t>
  </si>
  <si>
    <t>Amelung, Nina;Granja, Rafaela;Machado, Helena</t>
  </si>
  <si>
    <t>Social Science; Science</t>
  </si>
  <si>
    <t>Q175.4-.55</t>
  </si>
  <si>
    <t>https://ebookcentral.proquest.com/lib/iuavit/detail.action?docID=6382143</t>
  </si>
  <si>
    <t>Migration and Social Protection in Europe and Beyond (Volume 2) : Comparing Consular Services and Diaspora Policies</t>
  </si>
  <si>
    <t>https://ebookcentral.proquest.com/lib/iuavit/detail.action?docID=6382157</t>
  </si>
  <si>
    <t>Civilian Lunatic Asylums During the First World War : A Study of Austerity on London's Fringe</t>
  </si>
  <si>
    <t>Hilton, Claire</t>
  </si>
  <si>
    <t>https://ebookcentral.proquest.com/lib/iuavit/detail.action?docID=6382163</t>
  </si>
  <si>
    <t>Atlas: A 25-year Insider Story Of The Lhc Experiment</t>
  </si>
  <si>
    <t>Jenni, Peter;Dittus, Fridolin</t>
  </si>
  <si>
    <t>Science: Physics; Science: General</t>
  </si>
  <si>
    <t>https://ebookcentral.proquest.com/lib/iuavit/detail.action?docID=6383170</t>
  </si>
  <si>
    <t>Myanmar: Reintegrating Into The International Community</t>
  </si>
  <si>
    <t>Li, Chenyang;Sein, Daw Chaw Chaw;Zhu, Xianghui</t>
  </si>
  <si>
    <t>https://ebookcentral.proquest.com/lib/iuavit/detail.action?docID=6383171</t>
  </si>
  <si>
    <t>Biocomputing 2017 - Proceedings Of The Pacific Symposium</t>
  </si>
  <si>
    <t>Altman, Russ B;Dunker, A Keith;Murray, Tiffany A;Hunter, Lawrence;Ritchie, Marylyn D;Klein, Teri E</t>
  </si>
  <si>
    <t>Computer Science/IT; Science: Biology/Natural History</t>
  </si>
  <si>
    <t>https://ebookcentral.proquest.com/lib/iuavit/detail.action?docID=6383172</t>
  </si>
  <si>
    <t>Biocomputing 2016 - Proceedings Of The Pacific Symposium</t>
  </si>
  <si>
    <t>Altman, Russ B;Dunker, A Keith;Hunter, Lawrence;Ritchie, Marylyn D;Murray, Tiffany A;Klein, Teri E</t>
  </si>
  <si>
    <t>https://ebookcentral.proquest.com/lib/iuavit/detail.action?docID=6383173</t>
  </si>
  <si>
    <t>Genome Informatics 2009: Genome Informatics Series Vol. 22 - Proceedings Of The 9th Annual International Workshop On Bioinformatics And Systems Biology (Ibsb 2009)</t>
  </si>
  <si>
    <t>Klipp, Edda;Delisi, Charles;Kanehisa, Minoru;Miyano, Satoru;Mohr, Scott;Wallach, Iwona</t>
  </si>
  <si>
    <t>Science: Biology/Natural History; Mathematics</t>
  </si>
  <si>
    <t>https://ebookcentral.proquest.com/lib/iuavit/detail.action?docID=6383174</t>
  </si>
  <si>
    <t>Genome Informatics 2009: Genome Informatics Series Vol. 23 - Proceedings Of The 20th International Conference</t>
  </si>
  <si>
    <t>Sakakibara, Yasubumi;Morishita, Shinichi;Lee, Sang Yup</t>
  </si>
  <si>
    <t>Science: Biology/Natural History; Computer Science/IT</t>
  </si>
  <si>
    <t>https://ebookcentral.proquest.com/lib/iuavit/detail.action?docID=6383175</t>
  </si>
  <si>
    <t>Biocomputing 2020 - Proceedings Of The Pacific Symposium</t>
  </si>
  <si>
    <t>Science; Science: Biology/Natural History; Computer Science/IT</t>
  </si>
  <si>
    <t>https://ebookcentral.proquest.com/lib/iuavit/detail.action?docID=6383176</t>
  </si>
  <si>
    <t>Fourteenth Marcel Grossmann Meeting, The: On Recent Developments In Theoretical And Experimental General Relativity, Astrophysics, And Relativistic Field Theories - Proceedings Of The Mg14 Meeting On General Relativity (In 4 Parts)</t>
  </si>
  <si>
    <t>Bianchi, Massimo;Jantzen, Robert T;Ruffini, Remo</t>
  </si>
  <si>
    <t>Science: Physics; Science: Astronomy</t>
  </si>
  <si>
    <t>https://ebookcentral.proquest.com/lib/iuavit/detail.action?docID=6383177</t>
  </si>
  <si>
    <t>Polarization Phenomena In Physics: Applications To Nuclear Reactions</t>
  </si>
  <si>
    <t>Tanifuji, Makoto</t>
  </si>
  <si>
    <t>Science: Physics</t>
  </si>
  <si>
    <t>https://ebookcentral.proquest.com/lib/iuavit/detail.action?docID=6383178</t>
  </si>
  <si>
    <t>Biocomputing 2018 - Proceedings Of The Pacific Symposium</t>
  </si>
  <si>
    <t>https://ebookcentral.proquest.com/lib/iuavit/detail.action?docID=6383179</t>
  </si>
  <si>
    <t>Nature, Place &amp; People: Forging Connections Through Neighbourhood Landscape Design</t>
  </si>
  <si>
    <t>Tan, Puay-yok;Liao, Kuei-hsien;Hwang, Yun Hye;Chua, Vincent</t>
  </si>
  <si>
    <t>https://ebookcentral.proquest.com/lib/iuavit/detail.action?docID=6383180</t>
  </si>
  <si>
    <t>Innovations In Insurance, Risk- And Asset Management - Proceedings Of The Innovations In Insurance, Risk- And Asset Management Conference</t>
  </si>
  <si>
    <t>Glau, Kathrin;Linders, Daniel;Min, Aleksey;Scherer, Matthias;Schneider, Lorenz;Zagst, Rudi</t>
  </si>
  <si>
    <t>https://ebookcentral.proquest.com/lib/iuavit/detail.action?docID=6383181</t>
  </si>
  <si>
    <t>Agriculture &amp; Food Systems To 2050: Global Trends, Challenges And Opportunities</t>
  </si>
  <si>
    <t>Serraj, Rachid;Pingali, Prabhu</t>
  </si>
  <si>
    <t>Engineering: Chemical; Agriculture</t>
  </si>
  <si>
    <t>https://ebookcentral.proquest.com/lib/iuavit/detail.action?docID=6383182</t>
  </si>
  <si>
    <t>Biocomputing 2019 - Proceedings Of The Pacific Symposium</t>
  </si>
  <si>
    <t>https://ebookcentral.proquest.com/lib/iuavit/detail.action?docID=6383183</t>
  </si>
  <si>
    <t>Biocomputing 2012 - Proceedings Of The Pacific Symposium</t>
  </si>
  <si>
    <t>Klein, Teri E;Jung, Tiffany A;Hunter, Lawrence;Dunker, A Keith;Altman, Russ B</t>
  </si>
  <si>
    <t>Science: Biology/Natural History; Mathematics; Computer Science/IT</t>
  </si>
  <si>
    <t>https://ebookcentral.proquest.com/lib/iuavit/detail.action?docID=6383184</t>
  </si>
  <si>
    <t>Biocomputing 2013 - Proceedings Of The Pacific Symposium</t>
  </si>
  <si>
    <t>Altman, Russ B;Dunker, A Keith;Hunter, Lawrence;Murray, Tiffany A;Klein, Teri E</t>
  </si>
  <si>
    <t>https://ebookcentral.proquest.com/lib/iuavit/detail.action?docID=6383185</t>
  </si>
  <si>
    <t>Biocomputing 2011 - Proceedings Of The Pacific Symposium</t>
  </si>
  <si>
    <t>Altman, Russ B;Dunker, A Keith;Hunter, Lawrence;Jung, Tiffany A;Klein, Teri E</t>
  </si>
  <si>
    <t>Computer Science/IT; Science: Biology/Natural History; Mathematics</t>
  </si>
  <si>
    <t>https://ebookcentral.proquest.com/lib/iuavit/detail.action?docID=6383186</t>
  </si>
  <si>
    <t>Biocomputing 2010 - Proceedings Of The Pacific Symposium</t>
  </si>
  <si>
    <t>Mathematics; Science: Biology/Natural History</t>
  </si>
  <si>
    <t>https://ebookcentral.proquest.com/lib/iuavit/detail.action?docID=6383187</t>
  </si>
  <si>
    <t>Biological Information: New Perspectives - Proceedings Of The Symposium</t>
  </si>
  <si>
    <t>Sanford, John C;Marks Ii, Robert J;Behe, Michael J;Dembski, William A;Gordon, Bruce L</t>
  </si>
  <si>
    <t>https://ebookcentral.proquest.com/lib/iuavit/detail.action?docID=6383188</t>
  </si>
  <si>
    <t>Pacific Symposium On Biocomputing 2014</t>
  </si>
  <si>
    <t>https://ebookcentral.proquest.com/lib/iuavit/detail.action?docID=6383189</t>
  </si>
  <si>
    <t>60 Years Of Cern Experiments And Discoveries</t>
  </si>
  <si>
    <t>Schopper, Herwig;Lella, Luigi Di</t>
  </si>
  <si>
    <t>Science: General; Science: Physics</t>
  </si>
  <si>
    <t>https://ebookcentral.proquest.com/lib/iuavit/detail.action?docID=6383190</t>
  </si>
  <si>
    <t>Pacific Symposium On Biocomputing 2015</t>
  </si>
  <si>
    <t>https://ebookcentral.proquest.com/lib/iuavit/detail.action?docID=6383191</t>
  </si>
  <si>
    <t>High Luminosity Large Hadron Collider, The: The New Machine For Illuminating The Mysteries Of Universe</t>
  </si>
  <si>
    <t>Rossi, Lucio;Bruning, Oliver</t>
  </si>
  <si>
    <t>https://ebookcentral.proquest.com/lib/iuavit/detail.action?docID=6383192</t>
  </si>
  <si>
    <t>Sustainable Asia: Supporting The Transition To Sustainable Consumption And Production In Asian Developing Countries</t>
  </si>
  <si>
    <t>Schroeder, Patrick;Anggraeni, Kartika;Sartori, Silvia;Weber, Uwe</t>
  </si>
  <si>
    <t>https://ebookcentral.proquest.com/lib/iuavit/detail.action?docID=6383193</t>
  </si>
  <si>
    <t>Standard Theory Of Particle Physics, The: Essays To Celebrate Cern's 60th Anniversary</t>
  </si>
  <si>
    <t>Maiani, Luciano;Rolandi, Luigi</t>
  </si>
  <si>
    <t>https://ebookcentral.proquest.com/lib/iuavit/detail.action?docID=6383194</t>
  </si>
  <si>
    <t>Technology Meets Research - 60 Years Of Cern Technology: Selected Highlights</t>
  </si>
  <si>
    <t>Fabjan, Christian W;Taylor, Thomas;Treille, Daniel;Wenninger, Horst</t>
  </si>
  <si>
    <t>https://ebookcentral.proquest.com/lib/iuavit/detail.action?docID=6383195</t>
  </si>
  <si>
    <t>Social Determinants of Health in Non-Communicable Diseases : Case Studies from Japan</t>
  </si>
  <si>
    <t>Kondo, Katsunori</t>
  </si>
  <si>
    <t>HB71-74</t>
  </si>
  <si>
    <t>https://ebookcentral.proquest.com/lib/iuavit/detail.action?docID=6383534</t>
  </si>
  <si>
    <t>The State of Peacebuilding in Africa : Lessons Learned for Policymakers and Practitioners</t>
  </si>
  <si>
    <t>McNamee, Terence;Muyangwa, Monde</t>
  </si>
  <si>
    <t>JQ1870-3981</t>
  </si>
  <si>
    <t>https://ebookcentral.proquest.com/lib/iuavit/detail.action?docID=6383536</t>
  </si>
  <si>
    <t>Data Parallel C++ : Mastering DPC++ for Programming of Heterogeneous Systems Using C++ and SYCL</t>
  </si>
  <si>
    <t>Apress L. P.</t>
  </si>
  <si>
    <t>Reinders, James;Ashbaugh, Ben;Brodman, James;Kinsner, Michael;Pennycook, John;Tian, Xinmin</t>
  </si>
  <si>
    <t>QA76.76.C65</t>
  </si>
  <si>
    <t>https://ebookcentral.proquest.com/lib/iuavit/detail.action?docID=6383586</t>
  </si>
  <si>
    <t>Minimally Invasive Glaucoma Surgery</t>
  </si>
  <si>
    <t>Sng, Chelvin C. A.;Barton, Keith</t>
  </si>
  <si>
    <t>RE1-994</t>
  </si>
  <si>
    <t>https://ebookcentral.proquest.com/lib/iuavit/detail.action?docID=6384516</t>
  </si>
  <si>
    <t>Cohesion, Coherence and Temporal Reference from an Experimental Corpus Pragmatics Perspective</t>
  </si>
  <si>
    <t>Grisot, Cristina</t>
  </si>
  <si>
    <t>P98-98.5</t>
  </si>
  <si>
    <t>https://ebookcentral.proquest.com/lib/iuavit/detail.action?docID=6384525</t>
  </si>
  <si>
    <t>Cultural Convergence : The Dublin Gate Theatre, 1928-1960</t>
  </si>
  <si>
    <t>Pilný, Ondřej;van den Beuken, Ruud;Walsh, Ian R.</t>
  </si>
  <si>
    <t>PN2100-2193</t>
  </si>
  <si>
    <t>https://ebookcentral.proquest.com/lib/iuavit/detail.action?docID=6384526</t>
  </si>
  <si>
    <t>Implementing Deeper Learning and 21st Century Education Reforms : Building an Education Renaissance after a Global Pandemic</t>
  </si>
  <si>
    <t>Reimers, Fernando M.</t>
  </si>
  <si>
    <t>https://ebookcentral.proquest.com/lib/iuavit/detail.action?docID=6384926</t>
  </si>
  <si>
    <t>Patterns of Change in 18th-Century English : A Sociolinguistic Approach</t>
  </si>
  <si>
    <t>Nevalainen, Terttu;Palander-Collin, Minna;Säily, Tanja</t>
  </si>
  <si>
    <t>PE1083</t>
  </si>
  <si>
    <t>https://ebookcentral.proquest.com/lib/iuavit/detail.action?docID=6385894</t>
  </si>
  <si>
    <t>Constructicography : Constructicon Development Across Languages</t>
  </si>
  <si>
    <t>Lyngfelt, Benjamin;Borin, Lars;Ohara, Kyoko;Torrent, Tiago Timponi</t>
  </si>
  <si>
    <t>P163.5</t>
  </si>
  <si>
    <t>https://ebookcentral.proquest.com/lib/iuavit/detail.action?docID=6385895</t>
  </si>
  <si>
    <t>Atypical Language Development in Romance Languages</t>
  </si>
  <si>
    <t>Aguilar-Mediavilla, Eva;Buil-Legaz, Lucía;López-Penadés, Raúl;Sanchez-Azanza, Victor A.;Adrover-Roig, Daniel</t>
  </si>
  <si>
    <t>RC423</t>
  </si>
  <si>
    <t>616.85/5</t>
  </si>
  <si>
    <t>https://ebookcentral.proquest.com/lib/iuavit/detail.action?docID=6385897</t>
  </si>
  <si>
    <t>Approaches to Hungarian : Volume 16: Papers from the 2017 Budapest Conference</t>
  </si>
  <si>
    <t>Hegedűs, Veronika;Vogel, Irene</t>
  </si>
  <si>
    <t>PH2105</t>
  </si>
  <si>
    <t>https://ebookcentral.proquest.com/lib/iuavit/detail.action?docID=6385912</t>
  </si>
  <si>
    <t>Language Planning As Nation Building : Ideology, Policy and Implementation in the Netherlands, 1750-1850</t>
  </si>
  <si>
    <t>Rutten, Gijsbert</t>
  </si>
  <si>
    <t>PF74.7</t>
  </si>
  <si>
    <t>https://ebookcentral.proquest.com/lib/iuavit/detail.action?docID=6385914</t>
  </si>
  <si>
    <t>A Comparative Grammar of the Early Germanic Languages</t>
  </si>
  <si>
    <t>Fulk, R. D.</t>
  </si>
  <si>
    <t>PD99</t>
  </si>
  <si>
    <t>https://ebookcentral.proquest.com/lib/iuavit/detail.action?docID=6385916</t>
  </si>
  <si>
    <t>Skyping the Family : Interpersonal Video Communication and Domestic Life</t>
  </si>
  <si>
    <t>Harper, Richard;Watson, Rod;Licoppe, Christian</t>
  </si>
  <si>
    <t>HQ734</t>
  </si>
  <si>
    <t>https://ebookcentral.proquest.com/lib/iuavit/detail.action?docID=6385918</t>
  </si>
  <si>
    <t>Sozioanalyse in der Pädagogischen Arbeit : Ansätze und Möglichkeiten Zur Bearbeitung Von Bildungsungleichheit</t>
  </si>
  <si>
    <t>Rutter, Sabrina</t>
  </si>
  <si>
    <t>LB1024.2-1050.75</t>
  </si>
  <si>
    <t>https://ebookcentral.proquest.com/lib/iuavit/detail.action?docID=6386034</t>
  </si>
  <si>
    <t>Applied Pedagogies for Higher Education : Real World Learning and Innovation Across the Curriculum</t>
  </si>
  <si>
    <t>Morley, Dawn A.;Jamil, Golam</t>
  </si>
  <si>
    <t>LC1051-1072</t>
  </si>
  <si>
    <t>https://ebookcentral.proquest.com/lib/iuavit/detail.action?docID=6386050</t>
  </si>
  <si>
    <t>Digitalisierung Souverän Gestalten : Innovative Impulse Im Maschinenbau</t>
  </si>
  <si>
    <t>Hartmann, Ernst A.</t>
  </si>
  <si>
    <t>Engineering: Mechanical; Engineering</t>
  </si>
  <si>
    <t>TJ1-1570</t>
  </si>
  <si>
    <t>https://ebookcentral.proquest.com/lib/iuavit/detail.action?docID=6386056</t>
  </si>
  <si>
    <t>Transnational Solidarity in Times of Crises : Citizen Organisations and Collective Learning in Europe</t>
  </si>
  <si>
    <t>Lahusen, Christian;Zschache, Ulrike;Kousis, Maria</t>
  </si>
  <si>
    <t>https://ebookcentral.proquest.com/lib/iuavit/detail.action?docID=6387545</t>
  </si>
  <si>
    <t>European Higher Education Area: Challenges for a New Decade</t>
  </si>
  <si>
    <t>Curaj, Adrian;Deca, Ligia;Pricopie, Remus</t>
  </si>
  <si>
    <t>https://ebookcentral.proquest.com/lib/iuavit/detail.action?docID=6388690</t>
  </si>
  <si>
    <t>Migration and Social Protection in Europe and Beyond (Volume 3) : A Focus on Non-EU Sending States</t>
  </si>
  <si>
    <t>https://ebookcentral.proquest.com/lib/iuavit/detail.action?docID=6395760</t>
  </si>
  <si>
    <t>Guardians of Public Value : How Public Organisations Become and Remain Institutions</t>
  </si>
  <si>
    <t>Boin, Arjen;Fahy, Lauren A.;'t Hart, Paul</t>
  </si>
  <si>
    <t>Political Science; General Works/Reference</t>
  </si>
  <si>
    <t>JF1525.P6</t>
  </si>
  <si>
    <t>https://ebookcentral.proquest.com/lib/iuavit/detail.action?docID=6395763</t>
  </si>
  <si>
    <t>Studierendenmigration und Entwicklung : Eine Fallstudie Am Beispiel des KAAD</t>
  </si>
  <si>
    <t>Krannich, Sascha;Hunger, Uwe</t>
  </si>
  <si>
    <t>JZ1317.5-1324</t>
  </si>
  <si>
    <t>https://ebookcentral.proquest.com/lib/iuavit/detail.action?docID=6396089</t>
  </si>
  <si>
    <t>Digital Entrepreneurship : Impact on Business and Society</t>
  </si>
  <si>
    <t>Soltanifar, Mariusz;Hughes, Mathew;Göcke, Lutz</t>
  </si>
  <si>
    <t>HD62.5</t>
  </si>
  <si>
    <t>https://ebookcentral.proquest.com/lib/iuavit/detail.action?docID=6396098</t>
  </si>
  <si>
    <t>Towards a Comparative Analysis of Social Inequalities Between Europe and Latin America</t>
  </si>
  <si>
    <t>López-Roldán, Pedro;Fachelli, Sandra</t>
  </si>
  <si>
    <t>HM706</t>
  </si>
  <si>
    <t>https://ebookcentral.proquest.com/lib/iuavit/detail.action?docID=6396099</t>
  </si>
  <si>
    <t>Wirtschaft Neu Lehren : Erfahrungen Aus der Pluralen, Sozioökonomischen Hochschulbildung</t>
  </si>
  <si>
    <t>Urban, Janina;Schröder, Lisa-Marie;Hantke, Harald;Bäuerle, Lukas</t>
  </si>
  <si>
    <t>https://ebookcentral.proquest.com/lib/iuavit/detail.action?docID=6396102</t>
  </si>
  <si>
    <t>[Faust. Jern und Bäteln. Scherz, List und Rache]</t>
  </si>
  <si>
    <t>1790-04-01</t>
  </si>
  <si>
    <t>Goethe, Johann Wolfgang</t>
  </si>
  <si>
    <t>https://ebookcentral.proquest.com/lib/iuavit/detail.action?docID=6396950</t>
  </si>
  <si>
    <t>Social Movements and Solidarity Structures in Crisis-Ridden Greece</t>
  </si>
  <si>
    <t>Malamidis, Haris</t>
  </si>
  <si>
    <t>https://ebookcentral.proquest.com/lib/iuavit/detail.action?docID=6402006</t>
  </si>
  <si>
    <t>Water Conflicts and Cooperation: a Media Handbook</t>
  </si>
  <si>
    <t>Dewedar, Rasha;Thompson, Ali</t>
  </si>
  <si>
    <t>Journalism</t>
  </si>
  <si>
    <t>https://ebookcentral.proquest.com/lib/iuavit/detail.action?docID=6402066</t>
  </si>
  <si>
    <t>Maria Stuart</t>
  </si>
  <si>
    <t>https://ebookcentral.proquest.com/lib/iuavit/detail.action?docID=6402741</t>
  </si>
  <si>
    <t>Plato's 'Republic' : An Introduction</t>
  </si>
  <si>
    <t>McAleer, Sean</t>
  </si>
  <si>
    <t>https://ebookcentral.proquest.com/lib/iuavit/detail.action?docID=6402742</t>
  </si>
  <si>
    <t>The Atheist's Bible : Diderot's 'Éléments de Physiologie'</t>
  </si>
  <si>
    <t>Literature; Philosophy</t>
  </si>
  <si>
    <t>https://ebookcentral.proquest.com/lib/iuavit/detail.action?docID=6402743</t>
  </si>
  <si>
    <t>Unsettling Responsibility in Science Education : Indigenous Science, Deconstruction, and the Multicultural Science Education Debate</t>
  </si>
  <si>
    <t>Higgins, Marc</t>
  </si>
  <si>
    <t>Science; Science: General</t>
  </si>
  <si>
    <t>Q181-183.4</t>
  </si>
  <si>
    <t>https://ebookcentral.proquest.com/lib/iuavit/detail.action?docID=6403567</t>
  </si>
  <si>
    <t>XcalableMP PGAS Programming Language : From Programming Model to Applications</t>
  </si>
  <si>
    <t>Sato, Mitsuhisa</t>
  </si>
  <si>
    <t>https://ebookcentral.proquest.com/lib/iuavit/detail.action?docID=6403583</t>
  </si>
  <si>
    <t>Pilot Society and the Energy Transition : The Co-Shaping of Innovation, Participation and Politics</t>
  </si>
  <si>
    <t>Ryghaug, Marianne;Skjølsvold, Tomas Moe</t>
  </si>
  <si>
    <t>GE170-190</t>
  </si>
  <si>
    <t>https://ebookcentral.proquest.com/lib/iuavit/detail.action?docID=6407544</t>
  </si>
  <si>
    <t>Teaching Multiplication with Lesson Study : Japanese and Ibero-American Theories for International Mathematics Education</t>
  </si>
  <si>
    <t>Isoda, Masami;Olfos, Raimundo</t>
  </si>
  <si>
    <t>https://ebookcentral.proquest.com/lib/iuavit/detail.action?docID=6407566</t>
  </si>
  <si>
    <t>Improving a Country's Education : PISA 2018 Results in 10 Countries</t>
  </si>
  <si>
    <t>Crato, Nuno</t>
  </si>
  <si>
    <t>https://ebookcentral.proquest.com/lib/iuavit/detail.action?docID=6407583</t>
  </si>
  <si>
    <t>Organic Waste Composting Through Nexus Thinking : Practices, Policies, and Trends</t>
  </si>
  <si>
    <t>Hettiarachchi, Hiroshan;Caucci, Serena;Schwärzel, Kai</t>
  </si>
  <si>
    <t>https://ebookcentral.proquest.com/lib/iuavit/detail.action?docID=6407613</t>
  </si>
  <si>
    <t>Produktivitätsmanagement 4. 0 : Praxiserprobte Vorgehensweisen Zur Nutzung der Digitalisierung in der Industrie</t>
  </si>
  <si>
    <t>Jeske, Tim;Lennings, Frank</t>
  </si>
  <si>
    <t>T55.4-60.8</t>
  </si>
  <si>
    <t>https://ebookcentral.proquest.com/lib/iuavit/detail.action?docID=6407626</t>
  </si>
  <si>
    <t>Anti-Microbial Resistance in Global Perspective</t>
  </si>
  <si>
    <t>Ackers, Louise;Ackers-Johnson, Gavin;Welsh, Joanne;Kibombo, Daniel;Opio, Samuel</t>
  </si>
  <si>
    <t>Medicine; Business/Management</t>
  </si>
  <si>
    <t>https://ebookcentral.proquest.com/lib/iuavit/detail.action?docID=6407629</t>
  </si>
  <si>
    <t>Multiscale Biomechanics and Tribology of Inorganic and Organic Systems : In Memory of Professor Sergey Psakhie</t>
  </si>
  <si>
    <t>Ostermeyer, Georg-Peter;Popov, Valentin L.;Shilko, Evgeny V.;Vasiljeva, Olga S.</t>
  </si>
  <si>
    <t>TA349-359</t>
  </si>
  <si>
    <t>https://ebookcentral.proquest.com/lib/iuavit/detail.action?docID=6407993</t>
  </si>
  <si>
    <t>The Impact of the International Livestock Research Institute</t>
  </si>
  <si>
    <t>McIntire, John;Grace, Delia</t>
  </si>
  <si>
    <t>https://ebookcentral.proquest.com/lib/iuavit/detail.action?docID=6416822</t>
  </si>
  <si>
    <t>The Palgrave Handbook of Development Cooperation for Achieving the 2030 Agenda : Contested Collaboration</t>
  </si>
  <si>
    <t>Chaturvedi, Sachin;Janus, Heiner;Klingebiel, Stephan;Li, Xiaoyun;Mello e Souza, André de;Sidiropoulos, Elizabeth;Wehrmann, Dorothea</t>
  </si>
  <si>
    <t>Business/Management; Economics; Political Science</t>
  </si>
  <si>
    <t>https://ebookcentral.proquest.com/lib/iuavit/detail.action?docID=6417073</t>
  </si>
  <si>
    <t>Teacher Transition into Innovative Learning Environments : A Global Perspective</t>
  </si>
  <si>
    <t>Imms, Wesley;Kvan, Thomas</t>
  </si>
  <si>
    <t>LB1060-1077</t>
  </si>
  <si>
    <t>https://ebookcentral.proquest.com/lib/iuavit/detail.action?docID=6417076</t>
  </si>
  <si>
    <t>Asylum Matters : On the Front Line of Administrative Decision-Making</t>
  </si>
  <si>
    <t>Affolter, Laura</t>
  </si>
  <si>
    <t>https://ebookcentral.proquest.com/lib/iuavit/detail.action?docID=6417096</t>
  </si>
  <si>
    <t>Klima : Politik and Green Deal | Technologie and Digitalisierung | Gesellschaft and Wirtschaft</t>
  </si>
  <si>
    <t>Wittpahl, Volker</t>
  </si>
  <si>
    <t>T1-995</t>
  </si>
  <si>
    <t>https://ebookcentral.proquest.com/lib/iuavit/detail.action?docID=6417097</t>
  </si>
  <si>
    <t>Tourismus und Klimawandel</t>
  </si>
  <si>
    <t>Pröbstl-Haider, Ulrike;Lund-Durlacher, Dagmar;Olefs, Marc;Prettenthaler, Franz</t>
  </si>
  <si>
    <t>https://ebookcentral.proquest.com/lib/iuavit/detail.action?docID=6417113</t>
  </si>
  <si>
    <t>Environmental Valuation with Discrete Choice Experiments : Guidance on Design, Implementation and Data Analysis</t>
  </si>
  <si>
    <t>Mariel, Petr;Hoyos, David;Meyerhoff, Jürgen;Czajkowski, Mikolaj;Dekker, Thijs;Glenk, Klaus;Jacobsen, Jette Bredahl;Liebe, Ulf;Olsen, Søren Bøye;Sagebiel, Julian</t>
  </si>
  <si>
    <t>https://ebookcentral.proquest.com/lib/iuavit/detail.action?docID=6417118</t>
  </si>
  <si>
    <t>Taming the Big Green Elephant : Setting in Motion the Transformation Towards Sustainability</t>
  </si>
  <si>
    <t>Hernández, Ariel Macaspac</t>
  </si>
  <si>
    <t>https://ebookcentral.proquest.com/lib/iuavit/detail.action?docID=6417126</t>
  </si>
  <si>
    <t>European Cultural Diplomacy and Arab Christians in Palestine, 1918-1948 : Between Contention and Connection</t>
  </si>
  <si>
    <t>Sanchez Summerer, Karène;Zananiri, Sary</t>
  </si>
  <si>
    <t>CB3-481</t>
  </si>
  <si>
    <t>https://ebookcentral.proquest.com/lib/iuavit/detail.action?docID=6417135</t>
  </si>
  <si>
    <t>The World of the Seafarer : Qualitative Accounts of Working in the Global Shipping Industry</t>
  </si>
  <si>
    <t>Gekara, Victor Oyaro;Sampson, Helen</t>
  </si>
  <si>
    <t>KZA1002-5205</t>
  </si>
  <si>
    <t>https://ebookcentral.proquest.com/lib/iuavit/detail.action?docID=6420681</t>
  </si>
  <si>
    <t>Ernst Denert Award for Software Engineering 2019 : Practice Meets Foundations</t>
  </si>
  <si>
    <t>Felderer, Michael;Hasselbring, Wilhelm;Koziolek, Heiko;Matthes, Florian;Prechelt, Lutz;Reussner, Ralf;Rumpe, Bernhard;Schaefer, Ina</t>
  </si>
  <si>
    <t>https://ebookcentral.proquest.com/lib/iuavit/detail.action?docID=6420687</t>
  </si>
  <si>
    <t>NL ARMS Netherlands Annual Review of Military Studies 2020 : Deterrence in the 21st Century--Insights from Theory and Practice</t>
  </si>
  <si>
    <t>T.M.C. Asser Press</t>
  </si>
  <si>
    <t>Osinga, Frans;Sweijs, Tim</t>
  </si>
  <si>
    <t>KZ</t>
  </si>
  <si>
    <t>https://ebookcentral.proquest.com/lib/iuavit/detail.action?docID=6420690</t>
  </si>
  <si>
    <t>Education and Climate Change : The Role of Universities</t>
  </si>
  <si>
    <t>GE70-90</t>
  </si>
  <si>
    <t>https://ebookcentral.proquest.com/lib/iuavit/detail.action?docID=6420694</t>
  </si>
  <si>
    <t>Mesoscale Analysis of Hydraulics</t>
  </si>
  <si>
    <t>Xu, Weilin</t>
  </si>
  <si>
    <t>TC1-1800</t>
  </si>
  <si>
    <t>https://ebookcentral.proquest.com/lib/iuavit/detail.action?docID=6420716</t>
  </si>
  <si>
    <t>Italienisches, Europäisches und Internationales Immaterialgüterrecht</t>
  </si>
  <si>
    <t>Laimer, Simon;Perathoner, Christoph</t>
  </si>
  <si>
    <t>K4240-4343</t>
  </si>
  <si>
    <t>https://ebookcentral.proquest.com/lib/iuavit/detail.action?docID=6421889</t>
  </si>
  <si>
    <t>Inside Asylum Bureaucracy: Organizing Refugee Status Determination in Austria</t>
  </si>
  <si>
    <t>Dahlvik, Julia</t>
  </si>
  <si>
    <t>https://ebookcentral.proquest.com/lib/iuavit/detail.action?docID=6422500</t>
  </si>
  <si>
    <t>Plant Selection for Bioretention Systems and Stormwater Treatment Practices</t>
  </si>
  <si>
    <t>Hunt, William F.;Lord, Bill;Loh, Benjamin;Sia, Angelia</t>
  </si>
  <si>
    <t>Geography/Travel</t>
  </si>
  <si>
    <t>G1-922</t>
  </si>
  <si>
    <t>https://ebookcentral.proquest.com/lib/iuavit/detail.action?docID=6422501</t>
  </si>
  <si>
    <t>Social and Political Dimensions of Mathematics Education : Current Thinking</t>
  </si>
  <si>
    <t>Jurdak, Murad;Vithal, Renuka;de Freitas, Elizabeth;Gates, Peter;Kollosche, David</t>
  </si>
  <si>
    <t>https://ebookcentral.proquest.com/lib/iuavit/detail.action?docID=6422502</t>
  </si>
  <si>
    <t>Seeing Ourselves Through Technology : How We Use Selfies, Blogs and Wearable Devices to See and Shape Ourselves</t>
  </si>
  <si>
    <t>Rettberg, Jill W.</t>
  </si>
  <si>
    <t>https://ebookcentral.proquest.com/lib/iuavit/detail.action?docID=6422503</t>
  </si>
  <si>
    <t>North Sea Region Climate Change Assessment</t>
  </si>
  <si>
    <t>Quante, Markus;Colijn, Franciscus</t>
  </si>
  <si>
    <t>QC851-999</t>
  </si>
  <si>
    <t>https://ebookcentral.proquest.com/lib/iuavit/detail.action?docID=6422506</t>
  </si>
  <si>
    <t>Natural Computing and Beyond : Winter School Hakodate 2011, Hakodate, Japan, March 2011 and 6th International Workshop on Natural Computing, Tokyo, Japan, March 2012, Proceedings</t>
  </si>
  <si>
    <t>Suzuki, Yasuhiro;Nakagaki, Toshiyuki</t>
  </si>
  <si>
    <t>QA76.9.C65</t>
  </si>
  <si>
    <t>https://ebookcentral.proquest.com/lib/iuavit/detail.action?docID=6422507</t>
  </si>
  <si>
    <t>Complications and Quandaries in the ICT Sector : Standard Essential Patents and Competition Issues</t>
  </si>
  <si>
    <t>Bharadwaj, Ashish;Devaiah, Vishwas H.;Gupta, Indranath</t>
  </si>
  <si>
    <t>https://ebookcentral.proquest.com/lib/iuavit/detail.action?docID=6422508</t>
  </si>
  <si>
    <t>Theories in and of Mathematics Education : Theory Strands in German Speaking Countries</t>
  </si>
  <si>
    <t>Bikner-Ahsbahs, Angelika;Vohns, Andreas;Schmitt, Oliver;Bruder, Regina;Dörfler, Willi</t>
  </si>
  <si>
    <t>https://ebookcentral.proquest.com/lib/iuavit/detail.action?docID=6422509</t>
  </si>
  <si>
    <t>Diseases of the Chest, Breast, Heart and Vessels 2019-2022 : Diagnostic and Interventional Imaging</t>
  </si>
  <si>
    <t>Hodler, Juerg;Kubik-Huch, Rahel A.;von Schulthess, , Gustav K.;Hodler, Juerg;Kubik-Huch, Rahel A.;von Schulthess, , Gustav K.</t>
  </si>
  <si>
    <t>https://ebookcentral.proquest.com/lib/iuavit/detail.action?docID=6422510</t>
  </si>
  <si>
    <t>Comparative Perspectives on Work-Life Balance and Gender Equality : Fathers on Leave Alone</t>
  </si>
  <si>
    <t>O'Brien, Margaret;Wall, Karin</t>
  </si>
  <si>
    <t>HM716-753.2</t>
  </si>
  <si>
    <t>https://ebookcentral.proquest.com/lib/iuavit/detail.action?docID=6422511</t>
  </si>
  <si>
    <t>Capital Punishment and the Criminal Corpse in Scotland, 1740-1834</t>
  </si>
  <si>
    <t>Bennett, Rachel E.</t>
  </si>
  <si>
    <t>DA1-995</t>
  </si>
  <si>
    <t>https://ebookcentral.proquest.com/lib/iuavit/detail.action?docID=6422512</t>
  </si>
  <si>
    <t>The Privacy Engineer's Manifesto : Getting from Policy to Code to QA to Value</t>
  </si>
  <si>
    <t>Dennedy, Michelle;Fox, Jonathan;Finneran, Tom</t>
  </si>
  <si>
    <t>QA76.9.A25</t>
  </si>
  <si>
    <t>https://ebookcentral.proquest.com/lib/iuavit/detail.action?docID=6422513</t>
  </si>
  <si>
    <t>Android Application Development for the Intel Platform</t>
  </si>
  <si>
    <t>Cohen, Ryan;Wang, Tao</t>
  </si>
  <si>
    <t>QA76.59</t>
  </si>
  <si>
    <t>https://ebookcentral.proquest.com/lib/iuavit/detail.action?docID=6422514</t>
  </si>
  <si>
    <t>Transitions in Mathematics Education</t>
  </si>
  <si>
    <t>Gueudet, Ghislaine;Bosch, Marianna;diSessa, Andrea A.;Kwon, Oh Nam;Verschaffel, Lieven</t>
  </si>
  <si>
    <t>https://ebookcentral.proquest.com/lib/iuavit/detail.action?docID=6422515</t>
  </si>
  <si>
    <t>Safety Cultures, Safety Models : Taking Stock and Moving Forward</t>
  </si>
  <si>
    <t>Gilbert, Claude;Journé, Benoît;Laroche, Hervé;Bieder, Corinne</t>
  </si>
  <si>
    <t>https://ebookcentral.proquest.com/lib/iuavit/detail.action?docID=6422516</t>
  </si>
  <si>
    <t>Junge Perspektiven der Türkeiforschung in Deutschland : Band 1</t>
  </si>
  <si>
    <t>Kreiser, Klaus;Motika, Raoul;Steinbach, Udo;Joppien, Charlotte;Schulz, Ludwig</t>
  </si>
  <si>
    <t>HM623</t>
  </si>
  <si>
    <t>https://ebookcentral.proquest.com/lib/iuavit/detail.action?docID=6422517</t>
  </si>
  <si>
    <t>Flexibel Studieren - Vereinbarkeit Ermöglichen : Studienstrukturen Für eine Diverse Studierendenschaft</t>
  </si>
  <si>
    <t>Springer Vieweg. in Springer Fachmedien Wiesbaden GmbH</t>
  </si>
  <si>
    <t>Buß, Imke</t>
  </si>
  <si>
    <t>https://ebookcentral.proquest.com/lib/iuavit/detail.action?docID=6422518</t>
  </si>
  <si>
    <t>Wissenschaft und Gesellschaft: ein Vertrauensvoller Dialog : Positionen und Perspektiven der Wissenschaftskommunikation Heute</t>
  </si>
  <si>
    <t>Schnurr, Johannes;Mäder, Alexander</t>
  </si>
  <si>
    <t>HM</t>
  </si>
  <si>
    <t>https://ebookcentral.proquest.com/lib/iuavit/detail.action?docID=6422519</t>
  </si>
  <si>
    <t>Second Assessment of Climate Change for the Baltic Sea Basin</t>
  </si>
  <si>
    <t>The BACC II Author Team, The Bacc</t>
  </si>
  <si>
    <t>GB3-5030</t>
  </si>
  <si>
    <t>https://ebookcentral.proquest.com/lib/iuavit/detail.action?docID=6422520</t>
  </si>
  <si>
    <t>Executing Magic in the Modern Era : Criminal Bodies and the Gallows in Popular Medicine</t>
  </si>
  <si>
    <t>Davies, Owen;Matteoni, Francesca</t>
  </si>
  <si>
    <t>https://ebookcentral.proquest.com/lib/iuavit/detail.action?docID=6422521</t>
  </si>
  <si>
    <t>Migration, Gender and Social Justice : Perspectives on Human Insecurity</t>
  </si>
  <si>
    <t>Truong, Thanh-Dam;Gasper, Des;Handmaker, Jeff;Bergh, Sylvia I.</t>
  </si>
  <si>
    <t>HQ12-449</t>
  </si>
  <si>
    <t>https://ebookcentral.proquest.com/lib/iuavit/detail.action?docID=6422522</t>
  </si>
  <si>
    <t>Radiological Issues for Fukushima's Revitalized Future</t>
  </si>
  <si>
    <t>Takahashi, Tomoyuki</t>
  </si>
  <si>
    <t>Science: Physics; Science; Social Science</t>
  </si>
  <si>
    <t>QC795.32.R3</t>
  </si>
  <si>
    <t>https://ebookcentral.proquest.com/lib/iuavit/detail.action?docID=6422523</t>
  </si>
  <si>
    <t>Advances in Production Technology</t>
  </si>
  <si>
    <t>Brecher, Christian</t>
  </si>
  <si>
    <t>Engineering; Engineering: Manufacturing</t>
  </si>
  <si>
    <t>TS1-2301</t>
  </si>
  <si>
    <t>https://ebookcentral.proquest.com/lib/iuavit/detail.action?docID=6422524</t>
  </si>
  <si>
    <t>Building the Infrastructure for Cloud Security : A Solutions View</t>
  </si>
  <si>
    <t>Yeluri, Raghuram;Castro-Leon, Enrique</t>
  </si>
  <si>
    <t>https://ebookcentral.proquest.com/lib/iuavit/detail.action?docID=6422525</t>
  </si>
  <si>
    <t>Kundennutzen Durch Digitale Transformation : Business-Process-Management-Studie - Status Quo und Erfolgsmuster</t>
  </si>
  <si>
    <t>Brucker-Kley, Elke;Kykalová, Denisa;Keller, Thomas</t>
  </si>
  <si>
    <t>https://ebookcentral.proquest.com/lib/iuavit/detail.action?docID=6422526</t>
  </si>
  <si>
    <t>Twitter Als Basis Wissenschaftlicher Studien : Eine Bewertung Gängiger Erhebungs- und Analysemethoden der Twitter-Forschung</t>
  </si>
  <si>
    <t>Pfaffenberger, Fabian</t>
  </si>
  <si>
    <t>https://ebookcentral.proquest.com/lib/iuavit/detail.action?docID=6422527</t>
  </si>
  <si>
    <t>Prozessintelligenz : Business-Process-Management-Studie - Status Quo und Erfolgsmuster</t>
  </si>
  <si>
    <t>HD30.2</t>
  </si>
  <si>
    <t>https://ebookcentral.proquest.com/lib/iuavit/detail.action?docID=6422528</t>
  </si>
  <si>
    <t>The EU and China in African Authoritarian Regimes : Domestic Politics and Governance Reforms</t>
  </si>
  <si>
    <t>Hackenesch, Christine</t>
  </si>
  <si>
    <t>https://ebookcentral.proquest.com/lib/iuavit/detail.action?docID=6422529</t>
  </si>
  <si>
    <t>Socioeconomic and Environmental Implications of Agricultural Residue Burning : A Case Study of Punjab, India</t>
  </si>
  <si>
    <t>Springer (India) Private Limited</t>
  </si>
  <si>
    <t>Kumar, Parmod;Kumar, Surender;Joshi, Laxmi</t>
  </si>
  <si>
    <t>https://ebookcentral.proquest.com/lib/iuavit/detail.action?docID=6422530</t>
  </si>
  <si>
    <t>Self-Reported Population Health: an International Perspective Based on EQ-5D</t>
  </si>
  <si>
    <t>Szende, Agota;Janssen, Bas;Cabases, Juan</t>
  </si>
  <si>
    <t>R850.A1-854</t>
  </si>
  <si>
    <t>https://ebookcentral.proquest.com/lib/iuavit/detail.action?docID=6422531</t>
  </si>
  <si>
    <t>Subseafloor Biosphere Linked to Hydrothermal Systems : TAIGA Concept</t>
  </si>
  <si>
    <t>Ishibashi, Jun-ichiro;Okino, Kyoko;Sunamura, Michinari</t>
  </si>
  <si>
    <t>https://ebookcentral.proquest.com/lib/iuavit/detail.action?docID=6422532</t>
  </si>
  <si>
    <t>Compositionality and Concepts in Linguistics and Psychology</t>
  </si>
  <si>
    <t>Hampton, James A.;Winter, Yoad</t>
  </si>
  <si>
    <t>P99-99.4</t>
  </si>
  <si>
    <t>https://ebookcentral.proquest.com/lib/iuavit/detail.action?docID=6422533</t>
  </si>
  <si>
    <t>Exceptional Lifespans</t>
  </si>
  <si>
    <t>Maier, Heiner;Jeune, Bernard;Vaupel, James W.</t>
  </si>
  <si>
    <t>https://ebookcentral.proquest.com/lib/iuavit/detail.action?docID=6422534</t>
  </si>
  <si>
    <t>Ranaviruses : Lethal Pathogens of Ectothermic Vertebrates</t>
  </si>
  <si>
    <t>Gray, Matthew J.;Chinchar, V. Gregory</t>
  </si>
  <si>
    <t>https://ebookcentral.proquest.com/lib/iuavit/detail.action?docID=6422535</t>
  </si>
  <si>
    <t>A History of Radionuclide Studies in the UK : 50th Anniversary of the British Nuclear Medicine Society</t>
  </si>
  <si>
    <t>McCready, Ralph;Gnanasegaran, Gopinath;Bomanji, Jamshed B.</t>
  </si>
  <si>
    <t>https://ebookcentral.proquest.com/lib/iuavit/detail.action?docID=6422536</t>
  </si>
  <si>
    <t>Inorganic Constituents in Soil : Basics and Visuals</t>
  </si>
  <si>
    <t>Nanzyo, Masami;Kanno, Hitoshi</t>
  </si>
  <si>
    <t>S590-599.9</t>
  </si>
  <si>
    <t>https://ebookcentral.proquest.com/lib/iuavit/detail.action?docID=6422537</t>
  </si>
  <si>
    <t>Nils Petter Gleditsch: Pioneer in the Analysis of War and Peace</t>
  </si>
  <si>
    <t>Gleditsch, Nils Petter</t>
  </si>
  <si>
    <t>K3581-3598.22</t>
  </si>
  <si>
    <t>https://ebookcentral.proquest.com/lib/iuavit/detail.action?docID=6422538</t>
  </si>
  <si>
    <t>Aquaculture Perspective of Multi-Use Sites in the Open Ocean : The Untapped Potential for Marine Resources in the Anthropocene</t>
  </si>
  <si>
    <t>Buck, Bela H.;Langan, Richard</t>
  </si>
  <si>
    <t>Science: Geology; Agriculture; Science</t>
  </si>
  <si>
    <t>GB651-2998</t>
  </si>
  <si>
    <t>https://ebookcentral.proquest.com/lib/iuavit/detail.action?docID=6422539</t>
  </si>
  <si>
    <t>Agricultural and Forestry Reconstruction after the Great East Japan Earthquake : Tsunami, Radioactive, and Reputational Damages</t>
  </si>
  <si>
    <t>Monma, Toshiyuki;Goto, Itsuo;Hayashi, Takahisa;Tachiya, Hidekiyo;Ohsawa, Kanju</t>
  </si>
  <si>
    <t>Agriculture; Environmental Studies</t>
  </si>
  <si>
    <t>https://ebookcentral.proquest.com/lib/iuavit/detail.action?docID=6422540</t>
  </si>
  <si>
    <t>Transgovernance : Advancing Sustainability Governance</t>
  </si>
  <si>
    <t>Meuleman, Louis</t>
  </si>
  <si>
    <t>Economics; Political Science; Business/Management</t>
  </si>
  <si>
    <t>https://ebookcentral.proquest.com/lib/iuavit/detail.action?docID=6422541</t>
  </si>
  <si>
    <t>The InfoSec Handbook : An Introduction to Information Security</t>
  </si>
  <si>
    <t>Nayak, Umesha;Rao, Umesh Hodeghatta</t>
  </si>
  <si>
    <t>https://ebookcentral.proquest.com/lib/iuavit/detail.action?docID=6422542</t>
  </si>
  <si>
    <t>Verrechnungspreise : Grundlagen und Praxis</t>
  </si>
  <si>
    <t>Dawid, Roman</t>
  </si>
  <si>
    <t>HF5681.T3</t>
  </si>
  <si>
    <t>https://ebookcentral.proquest.com/lib/iuavit/detail.action?docID=6422543</t>
  </si>
  <si>
    <t>Early Geometrical Thinking in the Environment of Patterns, Mosaics and Isometries</t>
  </si>
  <si>
    <t>Swoboda, Ewa;Vighi, Paola</t>
  </si>
  <si>
    <t>https://ebookcentral.proquest.com/lib/iuavit/detail.action?docID=6422546</t>
  </si>
  <si>
    <t>The Handbook of Salutogenesis</t>
  </si>
  <si>
    <t>Mittelmark, Maurice B.;Sagy, Shifra;Eriksson, Monica;Bauer, Georg F.;Pelikan, Jürgen M.;Lindström, Bengt;Espnes, Geir Arild</t>
  </si>
  <si>
    <t>RA421-790.95</t>
  </si>
  <si>
    <t>https://ebookcentral.proquest.com/lib/iuavit/detail.action?docID=6422548</t>
  </si>
  <si>
    <t>Peer Review, Peer Education, and Modeling in the Practice of Clinical Ethics Consultation: the Zadeh Project</t>
  </si>
  <si>
    <t>Finder, Stuart G.;Bliton, Mark J.</t>
  </si>
  <si>
    <t>https://ebookcentral.proquest.com/lib/iuavit/detail.action?docID=6422549</t>
  </si>
  <si>
    <t>The Making of Islamic Heritage : Muslim Pasts and Heritage Presents</t>
  </si>
  <si>
    <t>Rico, Trinidad</t>
  </si>
  <si>
    <t>D1-2027</t>
  </si>
  <si>
    <t>https://ebookcentral.proquest.com/lib/iuavit/detail.action?docID=6422550</t>
  </si>
  <si>
    <t>Circular Migration and the Rights of Migrant Workers in Central and Eastern Europe : The EU Promise of a Triple Win Solution</t>
  </si>
  <si>
    <t>Vankova, Zvezda</t>
  </si>
  <si>
    <t>https://ebookcentral.proquest.com/lib/iuavit/detail.action?docID=6422551</t>
  </si>
  <si>
    <t>Financial Crisis Management and Democracy : Lessons from Europe and Latin America</t>
  </si>
  <si>
    <t>De Souza Guilherme, Bettina;Ghymers, Christian;Griffith-Jones, Stephany;Ribeiro Hoffmann, Andrea</t>
  </si>
  <si>
    <t>HB172.5</t>
  </si>
  <si>
    <t>https://ebookcentral.proquest.com/lib/iuavit/detail.action?docID=6422552</t>
  </si>
  <si>
    <t>Energy Efficient Servers : Blueprints for Data Center Optimization</t>
  </si>
  <si>
    <t>Gough, Corey;Steiner, Ian;Saunders, Winston</t>
  </si>
  <si>
    <t>TS171.57</t>
  </si>
  <si>
    <t>https://ebookcentral.proquest.com/lib/iuavit/detail.action?docID=6422553</t>
  </si>
  <si>
    <t>Report on Global Environmental Competitiveness (2013)</t>
  </si>
  <si>
    <t>Jianping, Li;Minrong, Li;Jinnan, Wang;Jianjian, Li;Hongwen, Su;Maoxing, Huang</t>
  </si>
  <si>
    <t>https://ebookcentral.proquest.com/lib/iuavit/detail.action?docID=6422554</t>
  </si>
  <si>
    <t>Managing the Complexity of Critical Infrastructures : A Modelling and Simulation Approach</t>
  </si>
  <si>
    <t>Setola, Roberto;Rosato, Vittorio;Kyriakides, Elias;Rome, Erich</t>
  </si>
  <si>
    <t>TA352-356</t>
  </si>
  <si>
    <t>https://ebookcentral.proquest.com/lib/iuavit/detail.action?docID=6422555</t>
  </si>
  <si>
    <t>Autonomous Driving : Technical, Legal and Social Aspects</t>
  </si>
  <si>
    <t>Maurer, Markus;Gerdes, J. Christian;Lenz, Barbara;Winner, Hermann</t>
  </si>
  <si>
    <t>Engineering: Mechanical; Engineering; Engineering: General</t>
  </si>
  <si>
    <t>TL1-483</t>
  </si>
  <si>
    <t>https://ebookcentral.proquest.com/lib/iuavit/detail.action?docID=6422556</t>
  </si>
  <si>
    <t>Balanced Urban Development: Options and Strategies for Liveable Cities</t>
  </si>
  <si>
    <t>Maheshwari, Basant;Singh, Vijay P.;Thoradeniya, Bhadranie</t>
  </si>
  <si>
    <t>https://ebookcentral.proquest.com/lib/iuavit/detail.action?docID=6422558</t>
  </si>
  <si>
    <t>The Future Internet : Future Internet Assembly 2013: Validated Results and New Horizons</t>
  </si>
  <si>
    <t>Galis, Alex;Gavras, Anastasius</t>
  </si>
  <si>
    <t>TK5105.5-5105.9</t>
  </si>
  <si>
    <t>https://ebookcentral.proquest.com/lib/iuavit/detail.action?docID=6422559</t>
  </si>
  <si>
    <t>Digital Video Concepts, Methods, and Metrics : Quality, Compression, Performance, and Power Trade-Off Analysis</t>
  </si>
  <si>
    <t>Akramullah, Shahriar</t>
  </si>
  <si>
    <t>Computer Science/IT; Engineering; Engineering: General</t>
  </si>
  <si>
    <t>T385</t>
  </si>
  <si>
    <t>https://ebookcentral.proquest.com/lib/iuavit/detail.action?docID=6422560</t>
  </si>
  <si>
    <t>Air Quality Integrated Assessment : A European Perspective</t>
  </si>
  <si>
    <t>Guariso, Giorgio;Volta, Marialuisa</t>
  </si>
  <si>
    <t>Environmental Studies; Engineering: Environmental; Engineering</t>
  </si>
  <si>
    <t>TD172-193.5</t>
  </si>
  <si>
    <t>https://ebookcentral.proquest.com/lib/iuavit/detail.action?docID=6422561</t>
  </si>
  <si>
    <t>White Paper on Joint Replacement : Status of Hip and Knee Arthroplasty Care in Germany</t>
  </si>
  <si>
    <t>Bleß, Hans-Holger;Kip, Miriam</t>
  </si>
  <si>
    <t>R1</t>
  </si>
  <si>
    <t>https://ebookcentral.proquest.com/lib/iuavit/detail.action?docID=6422562</t>
  </si>
  <si>
    <t>Teaching and Learning of Calculus</t>
  </si>
  <si>
    <t>Bressoud, David;Ghedamsi, Imène;Martinez-Luaces, Victor;Törner, Günter</t>
  </si>
  <si>
    <t>https://ebookcentral.proquest.com/lib/iuavit/detail.action?docID=6422563</t>
  </si>
  <si>
    <t>The Future of the Law of the Sea : Bridging Gaps Between National, Individual and Common Interests</t>
  </si>
  <si>
    <t>Andreone, Gemma</t>
  </si>
  <si>
    <t>https://ebookcentral.proquest.com/lib/iuavit/detail.action?docID=6422564</t>
  </si>
  <si>
    <t>A Life Course Perspective on Health Trajectories and Transitions</t>
  </si>
  <si>
    <t>Burton-Jeangros, Claudine;Cullati, Stéphane;Sacker, Amanda;Blane, David</t>
  </si>
  <si>
    <t>https://ebookcentral.proquest.com/lib/iuavit/detail.action?docID=6422565</t>
  </si>
  <si>
    <t>Model-Driven Development and Operation of Multi-Cloud Applications : The MODAClouds Approach</t>
  </si>
  <si>
    <t>Di Nitto, Elisabetta;Matthews, Peter;Petcu, Dana;Solberg, Arnor</t>
  </si>
  <si>
    <t>Engineering; Engineering: Electrical</t>
  </si>
  <si>
    <t>TK5101-5105.9</t>
  </si>
  <si>
    <t>https://ebookcentral.proquest.com/lib/iuavit/detail.action?docID=6422566</t>
  </si>
  <si>
    <t>Innovations in Derivatives Markets : Fixed Income Modeling, Valuation Adjustments, Risk Management, and Regulation</t>
  </si>
  <si>
    <t>Glau, Kathrin;Grbac, Zorana;Scherer, Matthias;Zagst, Rudi</t>
  </si>
  <si>
    <t>Economics; Mathematics</t>
  </si>
  <si>
    <t>https://ebookcentral.proquest.com/lib/iuavit/detail.action?docID=6422567</t>
  </si>
  <si>
    <t>Diseases of the Abdomen and Pelvis 2018-2021 : Diagnostic Imaging - IDKD Book</t>
  </si>
  <si>
    <t>Hodler, Juerg;Kubik-Huch, Rahel A.;von Schulthess, , Gustav K.</t>
  </si>
  <si>
    <t>https://ebookcentral.proquest.com/lib/iuavit/detail.action?docID=6422568</t>
  </si>
  <si>
    <t>Advances in Wheat Genetics: from Genome to Field : Proceedings of the 12th International Wheat Genetics Symposium</t>
  </si>
  <si>
    <t>Ogihara, Yasunari;Takumi, Shigeo;Handa, Hirokazu</t>
  </si>
  <si>
    <t>Science: Botany; Science; Agriculture</t>
  </si>
  <si>
    <t>QK981-981.7</t>
  </si>
  <si>
    <t>633.1/1</t>
  </si>
  <si>
    <t>https://ebookcentral.proquest.com/lib/iuavit/detail.action?docID=6422569</t>
  </si>
  <si>
    <t>Illustrated Pollen Terminology</t>
  </si>
  <si>
    <t>Halbritter, Heidemarie;Ulrich, Silvia;Grímsson, Friðgeir;Weber, Martina;Zetter, Reinhard;Hesse, Michael;Buchner, Ralf;Svojtka, Matthias;Frosch-Radivo, Andrea</t>
  </si>
  <si>
    <t>QK731-745</t>
  </si>
  <si>
    <t>https://ebookcentral.proquest.com/lib/iuavit/detail.action?docID=6422570</t>
  </si>
  <si>
    <t>Knowledge and Action</t>
  </si>
  <si>
    <t>Meusburger, Peter;Werlen, Benno;Suarsana, Laura</t>
  </si>
  <si>
    <t>https://ebookcentral.proquest.com/lib/iuavit/detail.action?docID=6422571</t>
  </si>
  <si>
    <t>Agroecology Now! : Transformations Towards More Just and Sustainable Food Systems</t>
  </si>
  <si>
    <t>Anderson, Colin Ray;Bruil, Janneke;Chappell, M. Jahi;Kiss, Csilla;Pimbert, Michel Patrick</t>
  </si>
  <si>
    <t>https://ebookcentral.proquest.com/lib/iuavit/detail.action?docID=6422572</t>
  </si>
  <si>
    <t>A History of Force Feeding : Hunger Strikes, Prisons and Medical Ethics, 1909-1974</t>
  </si>
  <si>
    <t>Miller, Ian</t>
  </si>
  <si>
    <t>History; Science: General</t>
  </si>
  <si>
    <t>https://ebookcentral.proquest.com/lib/iuavit/detail.action?docID=6422573</t>
  </si>
  <si>
    <t>Die Big-Data-Debatte : Chancen und Risiken der Digital Vernetzten Gesellschaft</t>
  </si>
  <si>
    <t>Knorre, Susanne;Müller-Peters, Horst;Wagner, Fred</t>
  </si>
  <si>
    <t>HD87-87.55</t>
  </si>
  <si>
    <t>https://ebookcentral.proquest.com/lib/iuavit/detail.action?docID=6422574</t>
  </si>
  <si>
    <t>Ship and Offshore Structure Design in Climate Change Perspective</t>
  </si>
  <si>
    <t>Bitner-Gregersen, Elzbieta Maria;Eide, Lars Ingolf;Hørte, Torfinn;Skjong, Rolf;Svensen, Tor;Hørte, Torfinn</t>
  </si>
  <si>
    <t>Engineering: General; Engineering; Mathematics</t>
  </si>
  <si>
    <t>QA276-280</t>
  </si>
  <si>
    <t>https://ebookcentral.proquest.com/lib/iuavit/detail.action?docID=6422575</t>
  </si>
  <si>
    <t>Risikoadaptierte Prävention : Governance Perspective Für Leistungsansprüche Bei Genetischen (Brustkrebs-)Risiken</t>
  </si>
  <si>
    <t>Meier, Friedhelm;Harney, Anke;Rhiem, Kerstin;Neumann, Anja;Neusser, Silke;Braun, Matthias;Wasem, Jürgen;Schmutzler, Rita;Huster, Stefan;Dabrock, Peter</t>
  </si>
  <si>
    <t>https://ebookcentral.proquest.com/lib/iuavit/detail.action?docID=6422576</t>
  </si>
  <si>
    <t>Nordic Mediation Research</t>
  </si>
  <si>
    <t>Nylund, Anna;Ervasti, Kaijus;Adrian, Lin</t>
  </si>
  <si>
    <t>K5459</t>
  </si>
  <si>
    <t>https://ebookcentral.proquest.com/lib/iuavit/detail.action?docID=6422578</t>
  </si>
  <si>
    <t>Promoting Social Dialogue in European Organizations : Human Resources Management and Constructive Conflict Management</t>
  </si>
  <si>
    <t>Euwema, Martin;Munduate, Lourdes;Elgoibar, Patricia;Pender, Erica;Belén García, Ana</t>
  </si>
  <si>
    <t>BF1-990</t>
  </si>
  <si>
    <t>https://ebookcentral.proquest.com/lib/iuavit/detail.action?docID=6422579</t>
  </si>
  <si>
    <t>Tuberculosis in Adults and Children</t>
  </si>
  <si>
    <t>Heemskerk, Dorothee;Caws, Maxine;Marais, Ben;Farrar, Jeremy</t>
  </si>
  <si>
    <t>RC1-1245</t>
  </si>
  <si>
    <t>https://ebookcentral.proquest.com/lib/iuavit/detail.action?docID=6422580</t>
  </si>
  <si>
    <t>Guideline for Salinity Assessment, Mitigation and Adaptation Using Nuclear and Related Techniques</t>
  </si>
  <si>
    <t>Zaman, Mohammad;Shahid, Shabbir A.;Heng, Lee</t>
  </si>
  <si>
    <t>https://ebookcentral.proquest.com/lib/iuavit/detail.action?docID=6422581</t>
  </si>
  <si>
    <t>Methodological Investigations in Agent-Based Modelling : With Applications for the Social Sciences</t>
  </si>
  <si>
    <t>Silverman, Eric;Courgeau, Daniel;Franck, Robert;Bijak, Jakub;Hilton, Jason;Noble, Jason;Bryden, John</t>
  </si>
  <si>
    <t>HM511-538</t>
  </si>
  <si>
    <t>https://ebookcentral.proquest.com/lib/iuavit/detail.action?docID=6422582</t>
  </si>
  <si>
    <t>International Comparative Studies in Mathematics : Lessons for Improving Students' Learning</t>
  </si>
  <si>
    <t>Cai, Jinfa;Mok, Ida A. C.;Reddy, Vijay;Stacey, Kaye</t>
  </si>
  <si>
    <t>https://ebookcentral.proquest.com/lib/iuavit/detail.action?docID=6422583</t>
  </si>
  <si>
    <t>Proceedings of the 13th International Congress on Mathematical Education : Icme-13</t>
  </si>
  <si>
    <t>Kaiser, Gabriele</t>
  </si>
  <si>
    <t>https://ebookcentral.proquest.com/lib/iuavit/detail.action?docID=6422584</t>
  </si>
  <si>
    <t>Weather and Climate Services for the Energy Industry</t>
  </si>
  <si>
    <t>Troccoli, Alberto</t>
  </si>
  <si>
    <t>Environmental Studies; Economics</t>
  </si>
  <si>
    <t>https://ebookcentral.proquest.com/lib/iuavit/detail.action?docID=6422585</t>
  </si>
  <si>
    <t>Companion to European Heritage Revivals</t>
  </si>
  <si>
    <t>Egberts, Linde;Bosma, Koos</t>
  </si>
  <si>
    <t>https://ebookcentral.proquest.com/lib/iuavit/detail.action?docID=6422586</t>
  </si>
  <si>
    <t>Lone Parenthood in the Life Course</t>
  </si>
  <si>
    <t>Bernardi, Laura;Mortelmans, Dimitri</t>
  </si>
  <si>
    <t>https://ebookcentral.proquest.com/lib/iuavit/detail.action?docID=6422587</t>
  </si>
  <si>
    <t>Grassroots Politics and Oil Culture in Venezuela : The Revolutionary Petro-State</t>
  </si>
  <si>
    <t>Strønen, Iselin Åsedotter</t>
  </si>
  <si>
    <t>JA76</t>
  </si>
  <si>
    <t>https://ebookcentral.proquest.com/lib/iuavit/detail.action?docID=6422588</t>
  </si>
  <si>
    <t>The Ecological Scarcity Method for the European Union : A Volkswagen Research Initiative: Environmental Assessments</t>
  </si>
  <si>
    <t>Ahbe, Stephan;Weihofen, Simon;Wellge, Steffen</t>
  </si>
  <si>
    <t>https://ebookcentral.proquest.com/lib/iuavit/detail.action?docID=6422589</t>
  </si>
  <si>
    <t>Innovative Medicine : Basic Research and Development</t>
  </si>
  <si>
    <t>Nakao, Kazuwa;Minato, Nagahiro;Uemoto, Shinji</t>
  </si>
  <si>
    <t>https://ebookcentral.proquest.com/lib/iuavit/detail.action?docID=6422590</t>
  </si>
  <si>
    <t>Access to Online Resources : A Guide for the Modern Librarian</t>
  </si>
  <si>
    <t>Botyriute, Kristina</t>
  </si>
  <si>
    <t>Z664.2-718.85</t>
  </si>
  <si>
    <t>https://ebookcentral.proquest.com/lib/iuavit/detail.action?docID=6422591</t>
  </si>
  <si>
    <t>Skills Development for Inclusive and Sustainable Growth in Developing Asia-Pacific</t>
  </si>
  <si>
    <t>Maclean, Rupert;Jagannathan, Shanti;Sarvi, Jouko</t>
  </si>
  <si>
    <t>https://ebookcentral.proquest.com/lib/iuavit/detail.action?docID=6422592</t>
  </si>
  <si>
    <t>DevOps for Digital Leaders : Reignite Business with a Modern DevOps-Enabled Software Factory</t>
  </si>
  <si>
    <t>Ravichandran, Aruna;Taylor, Kieran;Waterhouse, Peter</t>
  </si>
  <si>
    <t>https://ebookcentral.proquest.com/lib/iuavit/detail.action?docID=6422593</t>
  </si>
  <si>
    <t>Migration in the Southern Balkans : From Ottoman Territory to Globalized Nation States</t>
  </si>
  <si>
    <t>Vermeulen, Hans;Baldwin-Edwards, Martin;van Boeschoten, Riki van</t>
  </si>
  <si>
    <t>https://ebookcentral.proquest.com/lib/iuavit/detail.action?docID=6422594</t>
  </si>
  <si>
    <t>Reflections on the Fukushima Daiichi Nuclear Accident : Toward Social-Scientific Literacy and Engineering Resilience</t>
  </si>
  <si>
    <t>Ahn, Joonhong;Carson, Cathryn;Jensen, Mikael;Juraku, Kohta;Nagasaki, Shinya;Tanaka, Satoru</t>
  </si>
  <si>
    <t>TK9001-9401</t>
  </si>
  <si>
    <t>https://ebookcentral.proquest.com/lib/iuavit/detail.action?docID=6422597</t>
  </si>
  <si>
    <t>Rising Powers and Peacebuilding : Breaking the Mold?</t>
  </si>
  <si>
    <t>Call, Charles T.;de Coning, Cedric</t>
  </si>
  <si>
    <t>JZ5509.2-6300</t>
  </si>
  <si>
    <t>https://ebookcentral.proquest.com/lib/iuavit/detail.action?docID=6422598</t>
  </si>
  <si>
    <t>Telecommunication Economics : Selected Results of the COST Action IS0605 Econ@Tel</t>
  </si>
  <si>
    <t>Hadjiantonis, Antonis M.;Stiller, Burkhard</t>
  </si>
  <si>
    <t>https://ebookcentral.proquest.com/lib/iuavit/detail.action?docID=6422599</t>
  </si>
  <si>
    <t>Entity-Oriented Search</t>
  </si>
  <si>
    <t>Balog, Krisztian</t>
  </si>
  <si>
    <t>https://ebookcentral.proquest.com/lib/iuavit/detail.action?docID=6422600</t>
  </si>
  <si>
    <t>Mobilities of Knowledge</t>
  </si>
  <si>
    <t>Jöns, Heike;Meusburger, Peter;Heffernan, Michael</t>
  </si>
  <si>
    <t>https://ebookcentral.proquest.com/lib/iuavit/detail.action?docID=6422601</t>
  </si>
  <si>
    <t>Interface Oral Health Science 2016 : Innovative Research on Biosis-Abiosis Intelligent Interface</t>
  </si>
  <si>
    <t>Sasaki, Keiichi;Suzuki, Osamu;Takahashi, Nobuhiro</t>
  </si>
  <si>
    <t>RK</t>
  </si>
  <si>
    <t>https://ebookcentral.proquest.com/lib/iuavit/detail.action?docID=6422602</t>
  </si>
  <si>
    <t>A History of Self-Harm in Britain : A Genealogy of Cutting and Overdosing</t>
  </si>
  <si>
    <t>Millard, Chris</t>
  </si>
  <si>
    <t>R131-684</t>
  </si>
  <si>
    <t>https://ebookcentral.proquest.com/lib/iuavit/detail.action?docID=6422603</t>
  </si>
  <si>
    <t>The European Higher Education Area : Between Critical Reflections and Future Policies</t>
  </si>
  <si>
    <t>Curaj, Adrian;Matei, Liviu;Pricopie, Remus;Salmi, Jamil;Scott, Peter</t>
  </si>
  <si>
    <t>https://ebookcentral.proquest.com/lib/iuavit/detail.action?docID=6422604</t>
  </si>
  <si>
    <t>Talent Development in European Higher Education : Honors Programs in the Benelux, Nordic and German-Speaking Countries</t>
  </si>
  <si>
    <t>Wolfensberger, Marca V. C.</t>
  </si>
  <si>
    <t>https://ebookcentral.proquest.com/lib/iuavit/detail.action?docID=6422605</t>
  </si>
  <si>
    <t>Ocean-Atmosphere Interactions of Gases and Particles</t>
  </si>
  <si>
    <t>Liss, Peter S.;Johnson, Martin T.</t>
  </si>
  <si>
    <t>https://ebookcentral.proquest.com/lib/iuavit/detail.action?docID=6422606</t>
  </si>
  <si>
    <t>Constructions of Cancer in Early Modern England : Ravenous Natures</t>
  </si>
  <si>
    <t>Skuse, Alanna</t>
  </si>
  <si>
    <t>Literature; Health; Social Science</t>
  </si>
  <si>
    <t>PN715-749</t>
  </si>
  <si>
    <t>362.19699/40094</t>
  </si>
  <si>
    <t>https://ebookcentral.proquest.com/lib/iuavit/detail.action?docID=6422607</t>
  </si>
  <si>
    <t>Nuclear Back-End and Transmutation Technology for Waste Disposal : Beyond the Fukushima Accident</t>
  </si>
  <si>
    <t>Nakajima, Ken</t>
  </si>
  <si>
    <t>https://ebookcentral.proquest.com/lib/iuavit/detail.action?docID=6422608</t>
  </si>
  <si>
    <t>Bisociative Knowledge Discovery : An Introduction to Concept, Algorithms, Tools, and Applications</t>
  </si>
  <si>
    <t>Berthold, Michael R.</t>
  </si>
  <si>
    <t>Science; Computer Science/IT</t>
  </si>
  <si>
    <t>006.3/12</t>
  </si>
  <si>
    <t>https://ebookcentral.proquest.com/lib/iuavit/detail.action?docID=6422610</t>
  </si>
  <si>
    <t>Disasters: Core Concepts and Ethical Theories</t>
  </si>
  <si>
    <t>O'Mathúna, Dónal P.;Dranseika, Vilius;Gordijn, Bert</t>
  </si>
  <si>
    <t>https://ebookcentral.proquest.com/lib/iuavit/detail.action?docID=6422611</t>
  </si>
  <si>
    <t>Ukrainian Migration to the European Union : Lessons from Migration Studies</t>
  </si>
  <si>
    <t>Fedyuk, Olena;Kindler, Marta</t>
  </si>
  <si>
    <t>https://ebookcentral.proquest.com/lib/iuavit/detail.action?docID=6422612</t>
  </si>
  <si>
    <t>Managing Elevated Risk : Global Liquidity, Capital Flows, and Macroprudential Policy--An Asian Perspective</t>
  </si>
  <si>
    <t>Azis, Iwan J.;Shin, Hyun Song</t>
  </si>
  <si>
    <t>HG1-9999</t>
  </si>
  <si>
    <t>https://ebookcentral.proquest.com/lib/iuavit/detail.action?docID=6422613</t>
  </si>
  <si>
    <t>Social Statistics and Ethnic Diversity : Cross-National Perspectives in Classifications and Identity Politics</t>
  </si>
  <si>
    <t>Simon, Patrick;Piché, Victor;Gagnon, Amélie A.</t>
  </si>
  <si>
    <t>https://ebookcentral.proquest.com/lib/iuavit/detail.action?docID=6422614</t>
  </si>
  <si>
    <t>Science and Technology Governance and Ethics : A Global Perspective from Europe, India and China</t>
  </si>
  <si>
    <t>Ladikas, Miltos;Chaturvedi, Sachin;Zhao, Yandong;Stemerding, Dirk</t>
  </si>
  <si>
    <t>Philosophy; Business/Management</t>
  </si>
  <si>
    <t>https://ebookcentral.proquest.com/lib/iuavit/detail.action?docID=6422616</t>
  </si>
  <si>
    <t>Krankenhaus-Report 2019 : Das Digitale Krankenhaus</t>
  </si>
  <si>
    <t>Klauber, Jürgen;Geraedts, Max;Friedrich, Jörg;Wasem, Jürgen</t>
  </si>
  <si>
    <t>https://ebookcentral.proquest.com/lib/iuavit/detail.action?docID=6422617</t>
  </si>
  <si>
    <t>Mare-Wint : New Materials and Reliability in Offshore Wind Turbine Technology</t>
  </si>
  <si>
    <t>Ostachowicz, Wiesław;McGugan, Malcolm;Schröder-Hinrichs, Jens-Uwe;Luczak, Marcin</t>
  </si>
  <si>
    <t>Engineering; Engineering: Mechanical</t>
  </si>
  <si>
    <t>TJ807-830</t>
  </si>
  <si>
    <t>https://ebookcentral.proquest.com/lib/iuavit/detail.action?docID=6422618</t>
  </si>
  <si>
    <t>A History of Male Psychological Disorders in Britain, 1945-1980</t>
  </si>
  <si>
    <t>Haggett, Alison</t>
  </si>
  <si>
    <t>Science; Medicine</t>
  </si>
  <si>
    <t>Q124.6-127.2</t>
  </si>
  <si>
    <t>https://ebookcentral.proquest.com/lib/iuavit/detail.action?docID=6422619</t>
  </si>
  <si>
    <t>Humanities World Report 2015</t>
  </si>
  <si>
    <t>Holm, P.;Jarrick, A.;Scott, D.</t>
  </si>
  <si>
    <t>PN45-57</t>
  </si>
  <si>
    <t>https://ebookcentral.proquest.com/lib/iuavit/detail.action?docID=6422620</t>
  </si>
  <si>
    <t>Weißbuch Gelenkersatz : Versorgungssituation Endoprothetischer Hüft- und Knieoperationen in Deutschland</t>
  </si>
  <si>
    <t>RD701-811</t>
  </si>
  <si>
    <t>https://ebookcentral.proquest.com/lib/iuavit/detail.action?docID=6422621</t>
  </si>
  <si>
    <t>Nicotinic Acetylcholine Receptor Signaling in Neuroprotection</t>
  </si>
  <si>
    <t>Akaike, Akinori;Shimohama, Shun;Misu, Yoshimi</t>
  </si>
  <si>
    <t>https://ebookcentral.proquest.com/lib/iuavit/detail.action?docID=6422622</t>
  </si>
  <si>
    <t>Biomineralization : From Molecular and Nano-Structural Analyses to Environmental Science</t>
  </si>
  <si>
    <t>Endo, Kazuyoshi;Kogure, Toshihiro;Nagasawa, Hiromichi</t>
  </si>
  <si>
    <t>QD415-436</t>
  </si>
  <si>
    <t>https://ebookcentral.proquest.com/lib/iuavit/detail.action?docID=6422625</t>
  </si>
  <si>
    <t>Nuel Belnap on Indeterminism and Free Action</t>
  </si>
  <si>
    <t>Müller, Thomas;Müller, Thomas</t>
  </si>
  <si>
    <t>BC1-199</t>
  </si>
  <si>
    <t>https://ebookcentral.proquest.com/lib/iuavit/detail.action?docID=6422626</t>
  </si>
  <si>
    <t>Library and Information Sciences : Trends and Research</t>
  </si>
  <si>
    <t>Chen, Chuanfu;Larsen, Ronald</t>
  </si>
  <si>
    <t>Library Science; Business/Management</t>
  </si>
  <si>
    <t>https://ebookcentral.proquest.com/lib/iuavit/detail.action?docID=6422627</t>
  </si>
  <si>
    <t>Protecting the Rights of People with Autism in the Fields of Education and Employment : International, European and National Perspectives</t>
  </si>
  <si>
    <t>Della Fina, Valentina;Cera, Rachele</t>
  </si>
  <si>
    <t>K1-7720</t>
  </si>
  <si>
    <t>https://ebookcentral.proquest.com/lib/iuavit/detail.action?docID=6422630</t>
  </si>
  <si>
    <t>Integrating Immigrants in Europe : Research-Policy Dialogues</t>
  </si>
  <si>
    <t>Scholten, Peter;Entzinger, Han;Penninx, Rinus;Verbeek, Stijn</t>
  </si>
  <si>
    <t>https://ebookcentral.proquest.com/lib/iuavit/detail.action?docID=6422631</t>
  </si>
  <si>
    <t>Economics of Land Degradation and Improvement - a Global Assessment for Sustainable Development</t>
  </si>
  <si>
    <t>Nkonya, Ephraim;Mirzabaev, Alisher;von Braun, Joachim</t>
  </si>
  <si>
    <t>https://ebookcentral.proquest.com/lib/iuavit/detail.action?docID=6422632</t>
  </si>
  <si>
    <t>Ethnic Identity, Social Mobility and the Role of Soulmates</t>
  </si>
  <si>
    <t>Slootman, Marieke</t>
  </si>
  <si>
    <t>https://ebookcentral.proquest.com/lib/iuavit/detail.action?docID=6422633</t>
  </si>
  <si>
    <t>Nanoinformatics</t>
  </si>
  <si>
    <t>Tanaka, Isao</t>
  </si>
  <si>
    <t>T174.7</t>
  </si>
  <si>
    <t>https://ebookcentral.proquest.com/lib/iuavit/detail.action?docID=6422634</t>
  </si>
  <si>
    <t>Das Blaue Buch : Chemotherapie-Manual Hämatologie und Onkologie</t>
  </si>
  <si>
    <t>Engelhardt, Monika;Berger, Dietmar P.;Mertelsmann, Roland;Duyster, Justus</t>
  </si>
  <si>
    <t>RC254-282</t>
  </si>
  <si>
    <t>https://ebookcentral.proquest.com/lib/iuavit/detail.action?docID=6422635</t>
  </si>
  <si>
    <t>Perspectives on European Earthquake Engineering and Seismology : Volume 2</t>
  </si>
  <si>
    <t>Ansal, Atilla</t>
  </si>
  <si>
    <t>TA703-705.4</t>
  </si>
  <si>
    <t>https://ebookcentral.proquest.com/lib/iuavit/detail.action?docID=6422636</t>
  </si>
  <si>
    <t>Research on Teaching and Learning Mathematics at the Tertiary Level : State-Of-the-art and Looking Ahead</t>
  </si>
  <si>
    <t>Biza, Irene;Giraldo, Victor;Hochmuth, Reinhard;Khakbaz, Azimehsadat;Rasmussen, Chris</t>
  </si>
  <si>
    <t>https://ebookcentral.proquest.com/lib/iuavit/detail.action?docID=6422637</t>
  </si>
  <si>
    <t>Food Price Volatility and Its Implications for Food Security and Policy</t>
  </si>
  <si>
    <t>Kalkuhl, Matthias;von Braun, Joachim;Torero, Maximo</t>
  </si>
  <si>
    <t>S401</t>
  </si>
  <si>
    <t>https://ebookcentral.proquest.com/lib/iuavit/detail.action?docID=6422638</t>
  </si>
  <si>
    <t>Interdisciplinary Mathematics Education : A State of the Art</t>
  </si>
  <si>
    <t>Williams, Julian;Roth, Wolff-Michael;Swanson, David;Doig, Brian;Groves, Susie;Omuvwie, Michael;Borromeo Ferri, Rita;Mousoulides, Nicholas</t>
  </si>
  <si>
    <t>https://ebookcentral.proquest.com/lib/iuavit/detail.action?docID=6422640</t>
  </si>
  <si>
    <t>The Ethics of Educational Healthcare Placements in Low and Middle Income Countries : First Do No Harm?</t>
  </si>
  <si>
    <t>Ahmed, Anya;Ackers-Johnson, James;Ackers, Helen Louise</t>
  </si>
  <si>
    <t>JF20-1177</t>
  </si>
  <si>
    <t>https://ebookcentral.proquest.com/lib/iuavit/detail.action?docID=6422641</t>
  </si>
  <si>
    <t>Formalizing the Shadow Economy in Serbia : Policy Measures and Growth Effects</t>
  </si>
  <si>
    <t>Krstić, Gorana;Schneider, Friedrich</t>
  </si>
  <si>
    <t>https://ebookcentral.proquest.com/lib/iuavit/detail.action?docID=6422644</t>
  </si>
  <si>
    <t>Öffentliche Verwaltung - Verwaltung in Der Öffentlichkeit : Herausforderungen und Chancen der Kommunikation öffentlicher Institutionen</t>
  </si>
  <si>
    <t>Kocks, Klaus;Knorre, Susanne;Kocks, Jan Niklas</t>
  </si>
  <si>
    <t>https://ebookcentral.proquest.com/lib/iuavit/detail.action?docID=6422645</t>
  </si>
  <si>
    <t>Education and Skills for Inclusive Growth, Green Jobs and the Greening of Economies in Asia : Case Study Summaries of India, Indonesia, Sri Lanka and Viet Nam</t>
  </si>
  <si>
    <t>Maclean, Rupert;Jagannathan, Shanti;Panth, Brajesh</t>
  </si>
  <si>
    <t>https://ebookcentral.proquest.com/lib/iuavit/detail.action?docID=6422647</t>
  </si>
  <si>
    <t>Fungal Disease in Britain and the United States 1850-2000 : Mycoses and Modernity</t>
  </si>
  <si>
    <t>Homei, A.;Worboys, M.</t>
  </si>
  <si>
    <t>362.1969/69</t>
  </si>
  <si>
    <t>https://ebookcentral.proquest.com/lib/iuavit/detail.action?docID=6422648</t>
  </si>
  <si>
    <t>Socioeconomics of Agriculture</t>
  </si>
  <si>
    <t>Mann, Stefan</t>
  </si>
  <si>
    <t>https://ebookcentral.proquest.com/lib/iuavit/detail.action?docID=6422649</t>
  </si>
  <si>
    <t>Sustainable Living with Environmental Risks</t>
  </si>
  <si>
    <t>Kaneko, Nobuhiro;Yoshiura, Shinji;Kobayashi, Masanori</t>
  </si>
  <si>
    <t>Home Economics; Science: Geology; Science</t>
  </si>
  <si>
    <t>640.28/6</t>
  </si>
  <si>
    <t>https://ebookcentral.proquest.com/lib/iuavit/detail.action?docID=6422650</t>
  </si>
  <si>
    <t>A Demographic Perspective on Gender, Family and Health in Europe</t>
  </si>
  <si>
    <t>Doblhammer, Gabriele;Gumà, Jordi</t>
  </si>
  <si>
    <t>https://ebookcentral.proquest.com/lib/iuavit/detail.action?docID=6422651</t>
  </si>
  <si>
    <t>Religiöse Rituale und Soziale Ordnung</t>
  </si>
  <si>
    <t>Walthert, Rafael</t>
  </si>
  <si>
    <t>BL60</t>
  </si>
  <si>
    <t>https://ebookcentral.proquest.com/lib/iuavit/detail.action?docID=6422652</t>
  </si>
  <si>
    <t>Etiology and Morphogenesis of Congenital Heart Disease : From Gene Function and Cellular Interaction to Morphology</t>
  </si>
  <si>
    <t>Nakanishi, Toshio;Markwald, Roger R.;Baldwin, H. Scott;Keller, Bradley B.;Srivastava, Deepak;Yamagishi, Hiroyuki</t>
  </si>
  <si>
    <t>RC666-701.2</t>
  </si>
  <si>
    <t>https://ebookcentral.proquest.com/lib/iuavit/detail.action?docID=6422654</t>
  </si>
  <si>
    <t>The Restless Compendium : Interdisciplinary Investigations of Rest and Its Opposites</t>
  </si>
  <si>
    <t>Callard, Felicity;Staines, Kimberley;Wilkes, James</t>
  </si>
  <si>
    <t>Social Science; Psychology</t>
  </si>
  <si>
    <t>https://ebookcentral.proquest.com/lib/iuavit/detail.action?docID=6422656</t>
  </si>
  <si>
    <t>Linear Selection Indices in Modern Plant Breeding</t>
  </si>
  <si>
    <t>Céron-Rojas, J. Jesus;Crossa, José;Gianola, Daniel</t>
  </si>
  <si>
    <t>https://ebookcentral.proquest.com/lib/iuavit/detail.action?docID=6422657</t>
  </si>
  <si>
    <t>Transdisziplinär und Transformativ Forschen : Eine Methodensammlung</t>
  </si>
  <si>
    <t>Di Giulio, Antonietta;Defila, Rico</t>
  </si>
  <si>
    <t>https://ebookcentral.proquest.com/lib/iuavit/detail.action?docID=6422658</t>
  </si>
  <si>
    <t>Gesundheitsversorgung Am Lebensende : Soziale Ungleichheit in Bezug Auf Institutionsaufenthalte und Sterbeorte</t>
  </si>
  <si>
    <t>Hedinger, Damian</t>
  </si>
  <si>
    <t>https://ebookcentral.proquest.com/lib/iuavit/detail.action?docID=6422659</t>
  </si>
  <si>
    <t>Media Resistance : Protest, Dislike, Abstention</t>
  </si>
  <si>
    <t>Syvertsen, Trine</t>
  </si>
  <si>
    <t>https://ebookcentral.proquest.com/lib/iuavit/detail.action?docID=6422660</t>
  </si>
  <si>
    <t>Pragmatic Philanthropy : Asian Charity Explained</t>
  </si>
  <si>
    <t>Shapiro, Ruth A.;Mirchandani, Manisha;Jang, Heesu</t>
  </si>
  <si>
    <t>HN49.C6</t>
  </si>
  <si>
    <t>https://ebookcentral.proquest.com/lib/iuavit/detail.action?docID=6422661</t>
  </si>
  <si>
    <t>Manifesto of the New Economy : Institutions and Business Models of the Digital Society</t>
  </si>
  <si>
    <t>Dolgin, Alexander</t>
  </si>
  <si>
    <t>HB139-141</t>
  </si>
  <si>
    <t>https://ebookcentral.proquest.com/lib/iuavit/detail.action?docID=6422662</t>
  </si>
  <si>
    <t>Agricultural Implications of the Fukushima Nuclear Accident</t>
  </si>
  <si>
    <t>Nakanishi, Tomoko M.;Tanoi, Keitaro</t>
  </si>
  <si>
    <t>QH541.15.M64</t>
  </si>
  <si>
    <t>https://ebookcentral.proquest.com/lib/iuavit/detail.action?docID=6422663</t>
  </si>
  <si>
    <t>Handbook of Ocean Wave Energy</t>
  </si>
  <si>
    <t>Pecher, Arthur;Kofoed, Jens Peter</t>
  </si>
  <si>
    <t>TC1665-1670</t>
  </si>
  <si>
    <t>https://ebookcentral.proquest.com/lib/iuavit/detail.action?docID=6422664</t>
  </si>
  <si>
    <t>Young People's Views of Government, Peaceful Coexistence, and Diversity in Five Latin American Countries : IEA International Civic and Citizenship Education Study 2016 Latin American Report</t>
  </si>
  <si>
    <t>Schulz, Wolfram;Ainley, John;Cox, Cristián;Friedman, Tim</t>
  </si>
  <si>
    <t>https://ebookcentral.proquest.com/lib/iuavit/detail.action?docID=6422665</t>
  </si>
  <si>
    <t>Berufliche Passagen Im Lebenslauf : Berufsbildungs- und Transitionsforschung in der Schweiz</t>
  </si>
  <si>
    <t>Häfeli, Kurt;Neuenschwander, Markus P.;Schumann, Stephan</t>
  </si>
  <si>
    <t>https://ebookcentral.proquest.com/lib/iuavit/detail.action?docID=6422666</t>
  </si>
  <si>
    <t>Social Innovations in the Urban Context</t>
  </si>
  <si>
    <t>Brandsen, Taco;Cattacin, Sandro;Evers, Adalbert;Zimmer, Annette</t>
  </si>
  <si>
    <t>https://ebookcentral.proquest.com/lib/iuavit/detail.action?docID=6422667</t>
  </si>
  <si>
    <t>Protest Movements in Asylum and Deportation</t>
  </si>
  <si>
    <t>Rosenberger, Sieglinde;Stern, Verena;Merhaut, Nina</t>
  </si>
  <si>
    <t>https://ebookcentral.proquest.com/lib/iuavit/detail.action?docID=6422668</t>
  </si>
  <si>
    <t>TouchDevelop : Programming on the Go</t>
  </si>
  <si>
    <t>Horspool, Nigel;Tillmann, Nikolai;Bishop, Judith</t>
  </si>
  <si>
    <t>QA76.625</t>
  </si>
  <si>
    <t>https://ebookcentral.proquest.com/lib/iuavit/detail.action?docID=6422669</t>
  </si>
  <si>
    <t>Environmental Governance of the Baltic Sea</t>
  </si>
  <si>
    <t>Gilek, Michael;Karlsson, Mikael;Linke, Sebastian;Smolarz, Katarzyna</t>
  </si>
  <si>
    <t>https://ebookcentral.proquest.com/lib/iuavit/detail.action?docID=6422670</t>
  </si>
  <si>
    <t>Interferometry and Synthesis in Radio Astronomy</t>
  </si>
  <si>
    <t>Thompson, A. Richard;Moran, James M.;Swenson Jr., George W.</t>
  </si>
  <si>
    <t>Science: Astronomy; Science</t>
  </si>
  <si>
    <t>QB4-4.9</t>
  </si>
  <si>
    <t>https://ebookcentral.proquest.com/lib/iuavit/detail.action?docID=6422671</t>
  </si>
  <si>
    <t>Cyborgs in Latin America</t>
  </si>
  <si>
    <t>Brown, J.</t>
  </si>
  <si>
    <t>PN843-849</t>
  </si>
  <si>
    <t>https://ebookcentral.proquest.com/lib/iuavit/detail.action?docID=6422672</t>
  </si>
  <si>
    <t>Physical (a)Causality : Determinism, Randomness and Uncaused Events</t>
  </si>
  <si>
    <t>Svozil, Karl</t>
  </si>
  <si>
    <t>QC5.53</t>
  </si>
  <si>
    <t>https://ebookcentral.proquest.com/lib/iuavit/detail.action?docID=6422673</t>
  </si>
  <si>
    <t>Embedded Firmware Solutions : Development Best Practices for the Internet of Things</t>
  </si>
  <si>
    <t>Zimmer, Vincent;Sun, Jiming;Jones, Marc;Reinauer, Stefan</t>
  </si>
  <si>
    <t>https://ebookcentral.proquest.com/lib/iuavit/detail.action?docID=6422674</t>
  </si>
  <si>
    <t>Pflege-Report 2019 : Mehr Personal in der Langzeitpflege - Aber Woher?</t>
  </si>
  <si>
    <t>Nursing</t>
  </si>
  <si>
    <t>RT81.5</t>
  </si>
  <si>
    <t>https://ebookcentral.proquest.com/lib/iuavit/detail.action?docID=6422675</t>
  </si>
  <si>
    <t>Freiwilliges Engagement in Deutschland : Der Deutsche Freiwilligensurvey 2014</t>
  </si>
  <si>
    <t>Simonson, Julia;Vogel, Claudia;Tesch-Römer, Clemens</t>
  </si>
  <si>
    <t>https://ebookcentral.proquest.com/lib/iuavit/detail.action?docID=6422676</t>
  </si>
  <si>
    <t>Contemporary Issues in Human Rights Law : Europe and Asia</t>
  </si>
  <si>
    <t>Nakanishi, Yumiko</t>
  </si>
  <si>
    <t>K7000-7720.22</t>
  </si>
  <si>
    <t>https://ebookcentral.proquest.com/lib/iuavit/detail.action?docID=6422677</t>
  </si>
  <si>
    <t>Climate Smart Agriculture : Building Resilience to Climate Change</t>
  </si>
  <si>
    <t>Lipper, Leslie;McCarthy, Nancy;Zilberman, David;Asfaw, Solomon;Branca, Giacomo</t>
  </si>
  <si>
    <t>https://ebookcentral.proquest.com/lib/iuavit/detail.action?docID=6422678</t>
  </si>
  <si>
    <t>Childlessness in Europe: Contexts, Causes, and Consequences</t>
  </si>
  <si>
    <t>Kreyenfeld, Michaela;Konietzka, Dirk</t>
  </si>
  <si>
    <t>https://ebookcentral.proquest.com/lib/iuavit/detail.action?docID=6422679</t>
  </si>
  <si>
    <t>Nature-Based Solutions to Climate Change Adaptation in Urban Areas : Linkages Between Science, Policy and Practice</t>
  </si>
  <si>
    <t>Kabisch, Nadja;Korn, Horst;Stadler, Jutta;Bonn, Aletta</t>
  </si>
  <si>
    <t>https://ebookcentral.proquest.com/lib/iuavit/detail.action?docID=6422680</t>
  </si>
  <si>
    <t>Renewing Local Planning to Face Climate Change in the Tropics</t>
  </si>
  <si>
    <t>Tiepolo, Maurizio;Pezzoli, Alessandro;Tarchiani, Vieri</t>
  </si>
  <si>
    <t>Social Science; Geography/Travel</t>
  </si>
  <si>
    <t>G70.212-.217</t>
  </si>
  <si>
    <t>https://ebookcentral.proquest.com/lib/iuavit/detail.action?docID=6422681</t>
  </si>
  <si>
    <t>Inklusives Wachstum und Wirtschaftliche Sicherheit : Erkenntnisse ökonomischer Spitzenforschung Prägnant Zusammengefasst</t>
  </si>
  <si>
    <t>Keuschnigg, Christian</t>
  </si>
  <si>
    <t>https://ebookcentral.proquest.com/lib/iuavit/detail.action?docID=6422682</t>
  </si>
  <si>
    <t>META-NET Strategic Research Agenda for Multilingual Europe 2020</t>
  </si>
  <si>
    <t>Rehm, Georg;Uszkoreit, Hans</t>
  </si>
  <si>
    <t>QA76.9.N38</t>
  </si>
  <si>
    <t>https://ebookcentral.proquest.com/lib/iuavit/detail.action?docID=6422684</t>
  </si>
  <si>
    <t>Early Childhood Policies and Systems in Eight Countries : Findings from IEA's Early Childhood Education Study</t>
  </si>
  <si>
    <t>Bertram, Tony;Pascal, Chris</t>
  </si>
  <si>
    <t>LB1139.2-.5</t>
  </si>
  <si>
    <t>https://ebookcentral.proquest.com/lib/iuavit/detail.action?docID=6422686</t>
  </si>
  <si>
    <t>Mergers and Alliances in Higher Education : International Practice and Emerging Opportunities</t>
  </si>
  <si>
    <t>Curaj, Adrian;Georghiou, Luke;Cassingena Harper, Jennifer;Egron-Polak, Eva</t>
  </si>
  <si>
    <t>https://ebookcentral.proquest.com/lib/iuavit/detail.action?docID=6422687</t>
  </si>
  <si>
    <t>Inter-Group Relations and Migrant Integration in European Cities : Changing Neighbourhoods</t>
  </si>
  <si>
    <t>Pastore, Ferruccio;Ponzo, Irene</t>
  </si>
  <si>
    <t>https://ebookcentral.proquest.com/lib/iuavit/detail.action?docID=6422688</t>
  </si>
  <si>
    <t>Low-Cost Methods for Molecular Characterization of Mutant Plants : Tissue Desiccation, DNA Extraction and Mutation Discovery: Protocols</t>
  </si>
  <si>
    <t>Till, Bradley J.;Jankowicz-Cieslak, Joanna;Huynh, Owen A.;Beshir, Mayada M.;Laport, Robert G.;Hofinger, Bernhard J.</t>
  </si>
  <si>
    <t>https://ebookcentral.proquest.com/lib/iuavit/detail.action?docID=6422689</t>
  </si>
  <si>
    <t>Corporate Data Quality : Voraussetzung Erfolgreicher Geschäftsmodelle</t>
  </si>
  <si>
    <t>Otto, Boris;Österle, Hubert</t>
  </si>
  <si>
    <t>https://ebookcentral.proquest.com/lib/iuavit/detail.action?docID=6422690</t>
  </si>
  <si>
    <t>The Mathematics Education of Prospective Secondary Teachers Around the World</t>
  </si>
  <si>
    <t>Strutchens, Marilyn E.;Huang, Rongjin;Losano, Leticia;Potari, Despina;Cyrino, Márcia Cristina de Costa Trindade;da Ponte, João Pedro;Zbiek, Rose Mary</t>
  </si>
  <si>
    <t>Education; Mathematics</t>
  </si>
  <si>
    <t>https://ebookcentral.proquest.com/lib/iuavit/detail.action?docID=6422691</t>
  </si>
  <si>
    <t>Environmental Leadership Capacity Building in Higher Education : Experience and Lessons from Asian Program for Incubation of Environmental Leaders</t>
  </si>
  <si>
    <t>Mino, Takashi;Hanaki, Keisuke</t>
  </si>
  <si>
    <t>https://ebookcentral.proquest.com/lib/iuavit/detail.action?docID=6422692</t>
  </si>
  <si>
    <t>Think Big, Start Small : Streetscooter Die e-Mobile Erfolgsstory: Innovationsprozesse Radikal Effizienter</t>
  </si>
  <si>
    <t>Kampker, Achim;Gerdes, Jürgen;Schuh, Günther</t>
  </si>
  <si>
    <t>https://ebookcentral.proquest.com/lib/iuavit/detail.action?docID=6422693</t>
  </si>
  <si>
    <t>Familial Feeling : Entangled Tonalities in Early Black Atlantic Writing and the Rise of the British Novel</t>
  </si>
  <si>
    <t>Haschemi Yekani, Elahe</t>
  </si>
  <si>
    <t>PN750-759</t>
  </si>
  <si>
    <t>https://ebookcentral.proquest.com/lib/iuavit/detail.action?docID=6422695</t>
  </si>
  <si>
    <t>Habitats and Biota of the Gulf of Mexico: Before the Deepwater Horizon Oil Spill : Volume 2: Fish Resources, Fisheries, Sea Turtles, Avian Resources, Marine Mammals, Diseases and Mortalities</t>
  </si>
  <si>
    <t>Springer New York</t>
  </si>
  <si>
    <t>Ward, C. Herb</t>
  </si>
  <si>
    <t>Science: Biology/Natural History; Environmental Studies; Science</t>
  </si>
  <si>
    <t>577.7/364</t>
  </si>
  <si>
    <t>https://ebookcentral.proquest.com/lib/iuavit/detail.action?docID=6422696</t>
  </si>
  <si>
    <t>Affe und Affekt : Die Poetik und Politik der Emotionalität in der Primatologie</t>
  </si>
  <si>
    <t>J. B. Metzler'sche Verlagsbuchhandlung &amp; Carl Ernst Poeschel GmbH</t>
  </si>
  <si>
    <t>Shah, Mira</t>
  </si>
  <si>
    <t>PN1-6790</t>
  </si>
  <si>
    <t>https://ebookcentral.proquest.com/lib/iuavit/detail.action?docID=6422697</t>
  </si>
  <si>
    <t>Pro Git</t>
  </si>
  <si>
    <t>Chacon, Scott;Straub, Ben</t>
  </si>
  <si>
    <t>QA76.76.O62</t>
  </si>
  <si>
    <t>https://ebookcentral.proquest.com/lib/iuavit/detail.action?docID=6422698</t>
  </si>
  <si>
    <t>Impacts of the Fukushima Nuclear Accident on Fish and Fishing Grounds</t>
  </si>
  <si>
    <t>Nakata, Kaoru;Sugisaki, Hiroya</t>
  </si>
  <si>
    <t>SF</t>
  </si>
  <si>
    <t>571.9/517</t>
  </si>
  <si>
    <t>https://ebookcentral.proquest.com/lib/iuavit/detail.action?docID=6422699</t>
  </si>
  <si>
    <t>Limits to the European Union's Normative Power in a Post-Conflict Society : EULEX and Peacebuilding in Kosovo</t>
  </si>
  <si>
    <t>Zupančič, Rok;Pejič, Nina</t>
  </si>
  <si>
    <t>https://ebookcentral.proquest.com/lib/iuavit/detail.action?docID=6422700</t>
  </si>
  <si>
    <t>Android on X86 : An Introduction to Optimizing for Intel Architecture</t>
  </si>
  <si>
    <t>Krajci, Iggy;Cummings, Darren</t>
  </si>
  <si>
    <t>https://ebookcentral.proquest.com/lib/iuavit/detail.action?docID=6422701</t>
  </si>
  <si>
    <t>Radiation Monitoring and Dose Estimation of the Fukushima Nuclear Accident</t>
  </si>
  <si>
    <t>Takahashi, Sentaro</t>
  </si>
  <si>
    <t>Social Science; Science: Physics; Science</t>
  </si>
  <si>
    <t>https://ebookcentral.proquest.com/lib/iuavit/detail.action?docID=6422702</t>
  </si>
  <si>
    <t>Managing Risk and Information Security : Protect to Enable</t>
  </si>
  <si>
    <t>Harkins, Malcolm</t>
  </si>
  <si>
    <t>https://ebookcentral.proquest.com/lib/iuavit/detail.action?docID=6422703</t>
  </si>
  <si>
    <t>Advancing Human Assessment : The Methodological, Psychological and Policy Contributions of ETS</t>
  </si>
  <si>
    <t>Bennett, Randy E.;von Davier, Matthias</t>
  </si>
  <si>
    <t>Education; Psychology</t>
  </si>
  <si>
    <t>https://ebookcentral.proquest.com/lib/iuavit/detail.action?docID=6422704</t>
  </si>
  <si>
    <t>Delusions in Context</t>
  </si>
  <si>
    <t>Bortolotti, Lisa</t>
  </si>
  <si>
    <t>Psychology; Medicine</t>
  </si>
  <si>
    <t>RC466.8-467.97</t>
  </si>
  <si>
    <t>https://ebookcentral.proquest.com/lib/iuavit/detail.action?docID=6422705</t>
  </si>
  <si>
    <t>Cultural Heritage in a Changing World</t>
  </si>
  <si>
    <t>Borowiecki, Karol Jan;Forbes, Neil;Fresa, Antonella</t>
  </si>
  <si>
    <t>https://ebookcentral.proquest.com/lib/iuavit/detail.action?docID=6422706</t>
  </si>
  <si>
    <t>Weißbuch Multiple Sklerose : Versorgungssituation in Deutschland</t>
  </si>
  <si>
    <t>Kip, Miriam;Schönfelder, Tonio;Bleß, Hans-Holger</t>
  </si>
  <si>
    <t>RC346-429.2</t>
  </si>
  <si>
    <t>https://ebookcentral.proquest.com/lib/iuavit/detail.action?docID=6422710</t>
  </si>
  <si>
    <t>Society - Water - Technology : A Critical Appraisal of Major Water Engineering Projects</t>
  </si>
  <si>
    <t>Hüttl, Reinhard F.;Bens, Oliver;Bismuth, Christine;Hoechstetter, Sebastian</t>
  </si>
  <si>
    <t>Engineering: General; Engineering: Environmental; Engineering</t>
  </si>
  <si>
    <t>https://ebookcentral.proquest.com/lib/iuavit/detail.action?docID=6422712</t>
  </si>
  <si>
    <t>Office 365: Migrating and Managing Your Business in the Cloud</t>
  </si>
  <si>
    <t>Katzer, Matthew;Crawford, Don</t>
  </si>
  <si>
    <t>QA76.76.M52</t>
  </si>
  <si>
    <t>https://ebookcentral.proquest.com/lib/iuavit/detail.action?docID=6422713</t>
  </si>
  <si>
    <t>The Cost of Insanity in Nineteenth-Century Ireland : Public, Voluntary and Private Asylum Care</t>
  </si>
  <si>
    <t>Mauger, Alice</t>
  </si>
  <si>
    <t>https://ebookcentral.proquest.com/lib/iuavit/detail.action?docID=6422714</t>
  </si>
  <si>
    <t>Marine Carbon Biogeochemistry : A Primer for Earth System Scientists</t>
  </si>
  <si>
    <t>Middelburg, Jack J.</t>
  </si>
  <si>
    <t>QH84-198</t>
  </si>
  <si>
    <t>https://ebookcentral.proquest.com/lib/iuavit/detail.action?docID=6422715</t>
  </si>
  <si>
    <t>Self-Assembled Molecules - New Kind of Protein Ligands : Supramolecular Ligands</t>
  </si>
  <si>
    <t>Roterman, Irena;Konieczny, Leszek</t>
  </si>
  <si>
    <t>https://ebookcentral.proquest.com/lib/iuavit/detail.action?docID=6422716</t>
  </si>
  <si>
    <t>Autonomes Fahren : Technische, Rechtliche und Gesellschaftliche Aspekte</t>
  </si>
  <si>
    <t>https://ebookcentral.proquest.com/lib/iuavit/detail.action?docID=6422717</t>
  </si>
  <si>
    <t>Technological and Institutional Innovations for Marginalized Smallholders in Agricultural Development</t>
  </si>
  <si>
    <t>Gatzweiler, Franz W.;von Braun, Joachim</t>
  </si>
  <si>
    <t>https://ebookcentral.proquest.com/lib/iuavit/detail.action?docID=6422718</t>
  </si>
  <si>
    <t>Enabling Asia to Stabilise the Climate</t>
  </si>
  <si>
    <t>Nishioka, Shuzo</t>
  </si>
  <si>
    <t>https://ebookcentral.proquest.com/lib/iuavit/detail.action?docID=6422719</t>
  </si>
  <si>
    <t>The Great Disruptor : Über Trump, Die Medien und Die Politik der Herabsetzung</t>
  </si>
  <si>
    <t>Koch, Lars;Nanz, Tobias;Rogers, Christina</t>
  </si>
  <si>
    <t>https://ebookcentral.proquest.com/lib/iuavit/detail.action?docID=6422720</t>
  </si>
  <si>
    <t>Practical Economics : Economic Transformation and Government Reform in Georgia 2004-2012</t>
  </si>
  <si>
    <t>Gilauri, Nika</t>
  </si>
  <si>
    <t>https://ebookcentral.proquest.com/lib/iuavit/detail.action?docID=6422721</t>
  </si>
  <si>
    <t>Computer Vision Metrics : Survey, Taxonomy, and Analysis</t>
  </si>
  <si>
    <t>Krig, Scott</t>
  </si>
  <si>
    <t>Engineering: General; Computer Science/IT; Engineering</t>
  </si>
  <si>
    <t>https://ebookcentral.proquest.com/lib/iuavit/detail.action?docID=6422722</t>
  </si>
  <si>
    <t>Migrating and Settling in a Mobile World : Albanian Migrants and Their Children in Europe</t>
  </si>
  <si>
    <t>Vathi, Zana</t>
  </si>
  <si>
    <t>https://ebookcentral.proquest.com/lib/iuavit/detail.action?docID=6422723</t>
  </si>
  <si>
    <t>Zukunft der Arbeit - eine Praxisnahe Betrachtung</t>
  </si>
  <si>
    <t>Wischmann, Steffen;Hartmann, Ernst Andreas</t>
  </si>
  <si>
    <t>https://ebookcentral.proquest.com/lib/iuavit/detail.action?docID=6422724</t>
  </si>
  <si>
    <t>Contested Childhoods: Growing up in Migrancy : Migration, Governance, Identities</t>
  </si>
  <si>
    <t>Seeberg, Marie Louise;Goździak, Elżbieta M.</t>
  </si>
  <si>
    <t>https://ebookcentral.proquest.com/lib/iuavit/detail.action?docID=6422725</t>
  </si>
  <si>
    <t>Digitale Souveränität : Bürger, Unternehmen, Staat</t>
  </si>
  <si>
    <t>https://ebookcentral.proquest.com/lib/iuavit/detail.action?docID=6422727</t>
  </si>
  <si>
    <t>Who Will Be the Next President? : A Guide to the U. S. Presidential Election System</t>
  </si>
  <si>
    <t>Belenky, Alexander S.</t>
  </si>
  <si>
    <t>https://ebookcentral.proquest.com/lib/iuavit/detail.action?docID=6422728</t>
  </si>
  <si>
    <t>Understanding Society and Natural Resources : Forging New Strands of Integration Across the Social Sciences</t>
  </si>
  <si>
    <t>Manfredo, Michael J.;Vaske, Jerry J.;Rechkemmer, Andreas;Duke, Esther A.</t>
  </si>
  <si>
    <t>https://ebookcentral.proquest.com/lib/iuavit/detail.action?docID=6422729</t>
  </si>
  <si>
    <t>Digitale Transformation : Fallbeispiele und Branchenanalysen</t>
  </si>
  <si>
    <t>Oswald, Gerhard;Krcmar, Helmut</t>
  </si>
  <si>
    <t>https://ebookcentral.proquest.com/lib/iuavit/detail.action?docID=6422730</t>
  </si>
  <si>
    <t>The Proceedings of the 12th International Congress on Mathematical Education : Intellectual and Attitudinal Challenges</t>
  </si>
  <si>
    <t>Cho, Sung-Je</t>
  </si>
  <si>
    <t>https://ebookcentral.proquest.com/lib/iuavit/detail.action?docID=6422731</t>
  </si>
  <si>
    <t>Indigenous Pathways, Transitions and Participation in Higher Education : From Policy to Practice</t>
  </si>
  <si>
    <t>Frawley, Jack;Larkin, Steve;Smith, James A.</t>
  </si>
  <si>
    <t>https://ebookcentral.proquest.com/lib/iuavit/detail.action?docID=6422732</t>
  </si>
  <si>
    <t>Environmental Governance in Latin America</t>
  </si>
  <si>
    <t>De Castro, Fabio;Hogenboom, Barbara;Baud, Michiel</t>
  </si>
  <si>
    <t>Political Science; Economics; Environmental Studies</t>
  </si>
  <si>
    <t>https://ebookcentral.proquest.com/lib/iuavit/detail.action?docID=6422734</t>
  </si>
  <si>
    <t>Child Protection in England, 1960-2000 : Expertise, Experience, and Emotion</t>
  </si>
  <si>
    <t>Crane, Jennifer</t>
  </si>
  <si>
    <t>https://ebookcentral.proquest.com/lib/iuavit/detail.action?docID=6422735</t>
  </si>
  <si>
    <t>Projection-Based Clustering Through Self-Organization and Swarm Intelligence : Combining Cluster Analysis with the Visualization of High-Dimensional Data</t>
  </si>
  <si>
    <t>Thrun, Michael Christoph</t>
  </si>
  <si>
    <t>Q337.5</t>
  </si>
  <si>
    <t>https://ebookcentral.proquest.com/lib/iuavit/detail.action?docID=6422736</t>
  </si>
  <si>
    <t>Regulatory Pathways for Smart Grid Development in China</t>
  </si>
  <si>
    <t>Brunekreeft, Gert;Luhmann, Till;Menz, Tobias;Müller, Sven-Uwe;Recknagel, Paul</t>
  </si>
  <si>
    <t>https://ebookcentral.proquest.com/lib/iuavit/detail.action?docID=6422737</t>
  </si>
  <si>
    <t>Genome Editing in Neurosciences</t>
  </si>
  <si>
    <t>Jaenisch, Rudolf;Zhang, Feng;Gage, Fred</t>
  </si>
  <si>
    <t>https://ebookcentral.proquest.com/lib/iuavit/detail.action?docID=6422738</t>
  </si>
  <si>
    <t>Sensor Technologies : Healthcare, Wellness and Environmental Applications</t>
  </si>
  <si>
    <t>McGrath, Michael J.;Ni Scanaill, Cliodhna;Nafus, Dawn</t>
  </si>
  <si>
    <t>https://ebookcentral.proquest.com/lib/iuavit/detail.action?docID=6422739</t>
  </si>
  <si>
    <t>History of Mathematics Teaching and Learning : Achievements, Problems, Prospects</t>
  </si>
  <si>
    <t>Karp, Alexander;Furinghetti, Fulvia</t>
  </si>
  <si>
    <t>https://ebookcentral.proquest.com/lib/iuavit/detail.action?docID=6422740</t>
  </si>
  <si>
    <t>IEA International Civic and Citizenship Education Study 2016 Assessment Framework</t>
  </si>
  <si>
    <t>Schulz, Wolfram;Ainley, John;Fraillon, Julian;Losito, Bruno;Agrusti, Gabriella</t>
  </si>
  <si>
    <t>https://ebookcentral.proquest.com/lib/iuavit/detail.action?docID=6422741</t>
  </si>
  <si>
    <t>Counteracting Urban Heat Island Effects in a Global Climate Change Scenario</t>
  </si>
  <si>
    <t>Musco, Francesco</t>
  </si>
  <si>
    <t>Environmental Studies; Science: Geology; Science</t>
  </si>
  <si>
    <t>https://ebookcentral.proquest.com/lib/iuavit/detail.action?docID=6422742</t>
  </si>
  <si>
    <t>Multiculturalism and Conflict Reconciliation in the Asia-Pacific : Migration, Language and Politics</t>
  </si>
  <si>
    <t>Shimizu, K.;Bradley, W.</t>
  </si>
  <si>
    <t>https://ebookcentral.proquest.com/lib/iuavit/detail.action?docID=6422743</t>
  </si>
  <si>
    <t>Research on and Activities for Mathematically Gifted Students</t>
  </si>
  <si>
    <t>Singer, Florence Mihaela;Sheffield, Linda Jensen;Freiman, Viktor;Brandl, Matthias</t>
  </si>
  <si>
    <t>https://ebookcentral.proquest.com/lib/iuavit/detail.action?docID=6422744</t>
  </si>
  <si>
    <t>Non-Vitamin K Antagonist Oral Anticoagulants : A Concise Guide</t>
  </si>
  <si>
    <t>Shantsila, Eduard;LIP, Gregory</t>
  </si>
  <si>
    <t>https://ebookcentral.proquest.com/lib/iuavit/detail.action?docID=6422746</t>
  </si>
  <si>
    <t>Sago Palm : Multiple Contributions to Food Security and Sustainable Livelihoods</t>
  </si>
  <si>
    <t>Ehara, Hiroshi;Toyoda, Yukio;Johnson, Dennis V.</t>
  </si>
  <si>
    <t>https://ebookcentral.proquest.com/lib/iuavit/detail.action?docID=6422747</t>
  </si>
  <si>
    <t>Agenda-Setting Zwischen Parlament und Medien : Normative Herleitung und Empirische Untersuchung Am Beispiel der Schweiz</t>
  </si>
  <si>
    <t>Kovic, Marko</t>
  </si>
  <si>
    <t>https://ebookcentral.proquest.com/lib/iuavit/detail.action?docID=6422748</t>
  </si>
  <si>
    <t>Understanding the Bigger Energy Picture : DESERTEC and Beyond</t>
  </si>
  <si>
    <t>Düren, Michael</t>
  </si>
  <si>
    <t>Economics; Environmental Studies; Engineering; Engineering: Mechanical</t>
  </si>
  <si>
    <t>https://ebookcentral.proquest.com/lib/iuavit/detail.action?docID=6422749</t>
  </si>
  <si>
    <t>Sexual Reproduction in Animals and Plants</t>
  </si>
  <si>
    <t>Sawada, Hitoshi;Inoue, Naokazu;Iwano, Megumi</t>
  </si>
  <si>
    <t>QH491-492</t>
  </si>
  <si>
    <t>https://ebookcentral.proquest.com/lib/iuavit/detail.action?docID=6422750</t>
  </si>
  <si>
    <t>X-Ray Contrast Media : Overview, Use and Pharmaceutical Aspects</t>
  </si>
  <si>
    <t>Speck, Ulrich</t>
  </si>
  <si>
    <t>https://ebookcentral.proquest.com/lib/iuavit/detail.action?docID=6422751</t>
  </si>
  <si>
    <t>Protocols for Pre-Field Screening of Mutants for Salt Tolerance in Rice, Wheat and Barley</t>
  </si>
  <si>
    <t>Bado, Souleymane;Forster, Brian P.;Ghanim, Abdelbagi;Jankowicz-Cieslak, Joanna;Günter, Berthold;Luxiang, Liu</t>
  </si>
  <si>
    <t>Engineering: Chemical; Agriculture; Engineering</t>
  </si>
  <si>
    <t>https://ebookcentral.proquest.com/lib/iuavit/detail.action?docID=6422752</t>
  </si>
  <si>
    <t>Building the Foundation: Whole Numbers in the Primary Grades : The 23rd ICMI Study</t>
  </si>
  <si>
    <t>Bartolini Bussi, Maria G.;Sun, Xu Hua</t>
  </si>
  <si>
    <t>https://ebookcentral.proquest.com/lib/iuavit/detail.action?docID=6422753</t>
  </si>
  <si>
    <t>Vergleichsweise Menschlich? : Ambulante Sanktionen Als Alternative Zur Freiheitsentziehung Aus Europäischer Perspektive</t>
  </si>
  <si>
    <t>Graebsch, Christine M.;Burkhardt, Sven-Uwe</t>
  </si>
  <si>
    <t>HV6001-7220.5</t>
  </si>
  <si>
    <t>https://ebookcentral.proquest.com/lib/iuavit/detail.action?docID=6422754</t>
  </si>
  <si>
    <t>Poverty Reduction Policies and Practices in Developing Asia</t>
  </si>
  <si>
    <t>Heshmati, Almas;Maasoumi, Esfandiar;Wan, Guanghua</t>
  </si>
  <si>
    <t>https://ebookcentral.proquest.com/lib/iuavit/detail.action?docID=6422755</t>
  </si>
  <si>
    <t>The Philosophy of Mathematics Education</t>
  </si>
  <si>
    <t>Ernest, Paul;Skovsmose, Ole;van Bendegem, Jean Paul;Bicudo, Maria;Miarka, Roger;Kvasz, Ladislav;Moeller, Regina</t>
  </si>
  <si>
    <t>https://ebookcentral.proquest.com/lib/iuavit/detail.action?docID=6422756</t>
  </si>
  <si>
    <t>Pflegeroboter</t>
  </si>
  <si>
    <t>Bendel, Oliver</t>
  </si>
  <si>
    <t>HF5387-5387.5</t>
  </si>
  <si>
    <t>https://ebookcentral.proquest.com/lib/iuavit/detail.action?docID=6422757</t>
  </si>
  <si>
    <t>Advancing Energy Policy : Lessons on the Integration of Social Sciences and Humanities</t>
  </si>
  <si>
    <t>Foulds, Chris;Robison, Rosie</t>
  </si>
  <si>
    <t>Science: Physics; Economics; Environmental Studies; Science</t>
  </si>
  <si>
    <t>QC71.82-73.8</t>
  </si>
  <si>
    <t>https://ebookcentral.proquest.com/lib/iuavit/detail.action?docID=6422758</t>
  </si>
  <si>
    <t>Teaching Tolerance in a Globalized World</t>
  </si>
  <si>
    <t>Sandoval-Hernández, Andrés;Isac, Maria Magdalena;Miranda, Daniel</t>
  </si>
  <si>
    <t>https://ebookcentral.proquest.com/lib/iuavit/detail.action?docID=6422759</t>
  </si>
  <si>
    <t>Agricultural Implications of the Fukushima Nuclear Accident : The First Three Years</t>
  </si>
  <si>
    <t>Science; Social Science; Science: Biology/Natural History</t>
  </si>
  <si>
    <t>https://ebookcentral.proquest.com/lib/iuavit/detail.action?docID=6422760</t>
  </si>
  <si>
    <t>Intel Trusted Execution Technology for Server Platforms : A Guide to More Secure Datacenters</t>
  </si>
  <si>
    <t>Futral, William;Greene, James</t>
  </si>
  <si>
    <t>https://ebookcentral.proquest.com/lib/iuavit/detail.action?docID=6422761</t>
  </si>
  <si>
    <t>Deutsch Als Zweitsprache: Alphabetisierung Für Jugendliche und Junge Erwachsene</t>
  </si>
  <si>
    <t>SchlaU - Werkstatt für Migrationspädagogik gGmbH, SchlaU -</t>
  </si>
  <si>
    <t>P51-59.4</t>
  </si>
  <si>
    <t>https://ebookcentral.proquest.com/lib/iuavit/detail.action?docID=6422762</t>
  </si>
  <si>
    <t>Digitale Transformation und Unternehmensführung : Trends und Perspektiven Für Die Praxis</t>
  </si>
  <si>
    <t>Schellinger, Jochen;Tokarski, Kim Oliver;Kissling-Näf, Ingrid</t>
  </si>
  <si>
    <t>https://ebookcentral.proquest.com/lib/iuavit/detail.action?docID=6422763</t>
  </si>
  <si>
    <t>Wie Ticken Jugendliche 2016? : Lebenswelten Von Jugendlichen Im Alter Von 14 Bis 17 Jahren in Deutschland</t>
  </si>
  <si>
    <t>Calmbach, Marc;Borgstedt, Silke;Borchard, Inga;Thomas, Peter Martin;Flaig, Berthold Bodo</t>
  </si>
  <si>
    <t>https://ebookcentral.proquest.com/lib/iuavit/detail.action?docID=6422764</t>
  </si>
  <si>
    <t>Wetlands and Water Framework Directive : Protection, Management and Climate Change</t>
  </si>
  <si>
    <t>Ignar, Stefan;Grygoruk, Mateusz</t>
  </si>
  <si>
    <t>https://ebookcentral.proquest.com/lib/iuavit/detail.action?docID=6422765</t>
  </si>
  <si>
    <t>A Practical Guide to TPM 2. 0 : Using the Trusted Platform Module in the New Age of Security</t>
  </si>
  <si>
    <t>Arthur, Will;Challener, David</t>
  </si>
  <si>
    <t>https://ebookcentral.proquest.com/lib/iuavit/detail.action?docID=6422766</t>
  </si>
  <si>
    <t>China's Gas Development Strategies</t>
  </si>
  <si>
    <t>Shell International B.V.;Development Research Center DRC</t>
  </si>
  <si>
    <t>https://ebookcentral.proquest.com/lib/iuavit/detail.action?docID=6422767</t>
  </si>
  <si>
    <t>Improving Psychiatric Care for Older People : Barbara Robb's Campaign 1965-1975</t>
  </si>
  <si>
    <t>History; Medicine</t>
  </si>
  <si>
    <t>https://ebookcentral.proquest.com/lib/iuavit/detail.action?docID=6422768</t>
  </si>
  <si>
    <t>Microfinance 3. 0 : Reconciling Sustainability with Social Outreach and Responsible Delivery</t>
  </si>
  <si>
    <t>Köhn, Doris;Köhn, Doris</t>
  </si>
  <si>
    <t>https://ebookcentral.proquest.com/lib/iuavit/detail.action?docID=6422769</t>
  </si>
  <si>
    <t>Habitats and Biota of the Gulf of Mexico: Before the Deepwater Horizon Oil Spill : Volume 1: Water Quality, Sediments, Sediment Contaminants, Oil and Gas Seeps, Coastal Habitats, Offshore Plankton and Benthos, and Shellfish</t>
  </si>
  <si>
    <t>https://ebookcentral.proquest.com/lib/iuavit/detail.action?docID=6422770</t>
  </si>
  <si>
    <t>Information Infrastructures Within European Health Care : Working with the Installed Base</t>
  </si>
  <si>
    <t>Aanestad, Margunn;Grisot, Miria;Hanseth, Ole;Vassilakopoulou, Polyxeni</t>
  </si>
  <si>
    <t>R858-859.7</t>
  </si>
  <si>
    <t>https://ebookcentral.proquest.com/lib/iuavit/detail.action?docID=6422771</t>
  </si>
  <si>
    <t>Kommunikation und Bildverarbeitung in der Automation : Ausgewählte Beiträge der Jahreskolloquien KommA und BVAu 2018</t>
  </si>
  <si>
    <t>Jasperneite, Jürgen;Lohweg, Volker</t>
  </si>
  <si>
    <t>https://ebookcentral.proquest.com/lib/iuavit/detail.action?docID=6422772</t>
  </si>
  <si>
    <t>The Illusion of Risk Control : What Does It Take to Live with Uncertainty?</t>
  </si>
  <si>
    <t>Motet, Gilles;Bieder, Corinne</t>
  </si>
  <si>
    <t>Engineering; Social Science; Engineering: Construction</t>
  </si>
  <si>
    <t>https://ebookcentral.proquest.com/lib/iuavit/detail.action?docID=6422774</t>
  </si>
  <si>
    <t>Snow Sports Trauma and Safety : Conference Proceedings of the International Society for Skiing Safety: 21st Volume</t>
  </si>
  <si>
    <t>Scher, Irving S.;Greenwald, Richard M.;Petrone, Nicola</t>
  </si>
  <si>
    <t>TP248.13-248.65</t>
  </si>
  <si>
    <t>https://ebookcentral.proquest.com/lib/iuavit/detail.action?docID=6422775</t>
  </si>
  <si>
    <t>Engineering a Better Future : Interplay Between Engineering, Social Sciences, and Innovation</t>
  </si>
  <si>
    <t>Subrahmanian, Eswaran;Odumosu, Toluwalogo;Tsao, Jeffrey Y.</t>
  </si>
  <si>
    <t>LC1395</t>
  </si>
  <si>
    <t>https://ebookcentral.proquest.com/lib/iuavit/detail.action?docID=6422776</t>
  </si>
  <si>
    <t>Development Policies and Policy Processes in Africa : Modeling and Evaluation</t>
  </si>
  <si>
    <t>Henning, Christian;Badiane, Ousmane;Krampe, Eva</t>
  </si>
  <si>
    <t>https://ebookcentral.proquest.com/lib/iuavit/detail.action?docID=6422777</t>
  </si>
  <si>
    <t>Learn BlackBerry 10 App Development : A Cascades-Driven Approach</t>
  </si>
  <si>
    <t>Ludin, Anwar</t>
  </si>
  <si>
    <t>https://ebookcentral.proquest.com/lib/iuavit/detail.action?docID=6422778</t>
  </si>
  <si>
    <t>Greening the Financial Sector : How to Mainstream Environmental Finance in Developing Countries</t>
  </si>
  <si>
    <t>Köhn, Doris</t>
  </si>
  <si>
    <t>https://ebookcentral.proquest.com/lib/iuavit/detail.action?docID=6422779</t>
  </si>
  <si>
    <t>Perspectives on European Earthquake Engineering and Seismology : Volume 1</t>
  </si>
  <si>
    <t>https://ebookcentral.proquest.com/lib/iuavit/detail.action?docID=6422780</t>
  </si>
  <si>
    <t>European Somalis' Post-Migration Movements : Mobility Capital and the Transnationalisation of Resources</t>
  </si>
  <si>
    <t>Moret, Joëlle</t>
  </si>
  <si>
    <t>https://ebookcentral.proquest.com/lib/iuavit/detail.action?docID=6422782</t>
  </si>
  <si>
    <t>Enabling Things to Talk : Designing IoT Solutions with the IoT Architectural Reference Model</t>
  </si>
  <si>
    <t>Bassi, Alessandro;Bauer, Martin;Fiedler, Martin;Kramp, Thorsten;van Kranenburg, Rob;Lange, Sebastian;Meissner, Stefan</t>
  </si>
  <si>
    <t>QA76.76.A65</t>
  </si>
  <si>
    <t>https://ebookcentral.proquest.com/lib/iuavit/detail.action?docID=6422783</t>
  </si>
  <si>
    <t>Pflege-Report 2018 : Qualität in der Pflege</t>
  </si>
  <si>
    <t>https://ebookcentral.proquest.com/lib/iuavit/detail.action?docID=6422784</t>
  </si>
  <si>
    <t>Responsive Open Learning Environments : Outcomes of Research from the ROLE Project</t>
  </si>
  <si>
    <t>Kroop, Sylvana;Mikroyannidis, Alexander;Wolpers, Martin</t>
  </si>
  <si>
    <t>LB1028.3</t>
  </si>
  <si>
    <t>https://ebookcentral.proquest.com/lib/iuavit/detail.action?docID=6422785</t>
  </si>
  <si>
    <t>Collaborating Against Child Abuse : Exploring the Nordic Barnahus Model</t>
  </si>
  <si>
    <t>Johansson, Susanna;Stefansen, Kari;Bakketeig, Elisiv;Kaldal, Anna</t>
  </si>
  <si>
    <t>https://ebookcentral.proquest.com/lib/iuavit/detail.action?docID=6422786</t>
  </si>
  <si>
    <t>Finance for Food : Towards New Agricultural and Rural Finance</t>
  </si>
  <si>
    <t>https://ebookcentral.proquest.com/lib/iuavit/detail.action?docID=6422788</t>
  </si>
  <si>
    <t>Nachhaltigkeit in Umwelt, Wirtschaft und Gesellschaft : Interdisziplinäre Perspektiven</t>
  </si>
  <si>
    <t>Altmeppen, Klaus-Dieter;Zschaler, Frank;Zademach, Hans-Martin;Böttigheimer, Christoph;Müller, Markus</t>
  </si>
  <si>
    <t>BD175-175.5</t>
  </si>
  <si>
    <t>https://ebookcentral.proquest.com/lib/iuavit/detail.action?docID=6422789</t>
  </si>
  <si>
    <t>Paris Climate Agreement: Beacon of Hope</t>
  </si>
  <si>
    <t>Salawitch, Ross J.;Canty, Timothy P.;Hope, Austin P.;Tribett, Walter R.;Bennett, Brian F.</t>
  </si>
  <si>
    <t>https://ebookcentral.proquest.com/lib/iuavit/detail.action?docID=6422790</t>
  </si>
  <si>
    <t>Advances in Discrete Differential Geometry</t>
  </si>
  <si>
    <t>Bobenko, Alexander I.</t>
  </si>
  <si>
    <t>QA641-670</t>
  </si>
  <si>
    <t>https://ebookcentral.proquest.com/lib/iuavit/detail.action?docID=6422791</t>
  </si>
  <si>
    <t>The Onlife Manifesto : Being Human in a Hyperconnected Era</t>
  </si>
  <si>
    <t>Floridi, Luciano</t>
  </si>
  <si>
    <t>Engineering: General; Engineering; Social Science</t>
  </si>
  <si>
    <t>T14</t>
  </si>
  <si>
    <t>https://ebookcentral.proquest.com/lib/iuavit/detail.action?docID=6422792</t>
  </si>
  <si>
    <t>Uses of Technology in Lower Secondary Mathematics Education : A Concise Topical Survey</t>
  </si>
  <si>
    <t>Drijvers, Paul;Ball, Lynda;Barzel, Bärbel;Heid, M. Kathleen;Cao, Yiming;Maschietto, Michela</t>
  </si>
  <si>
    <t>https://ebookcentral.proquest.com/lib/iuavit/detail.action?docID=6422793</t>
  </si>
  <si>
    <t>R. J. Rummel: an Assessment of His Many Contributions</t>
  </si>
  <si>
    <t>https://ebookcentral.proquest.com/lib/iuavit/detail.action?docID=6422794</t>
  </si>
  <si>
    <t>Investigations into the Phenomenology and the Ontology of the Work of Art : What Are Artworks and How Do We Experience Them?</t>
  </si>
  <si>
    <t>Bundgaard, Peer F.;Stjernfelt, Frederik</t>
  </si>
  <si>
    <t>B829.5.A-Z</t>
  </si>
  <si>
    <t>https://ebookcentral.proquest.com/lib/iuavit/detail.action?docID=6422795</t>
  </si>
  <si>
    <t>Outsourcing Legal Aid in the Nordic Welfare States</t>
  </si>
  <si>
    <t>Halvorsen Rønning, Olaf;Hammerslev, Ole</t>
  </si>
  <si>
    <t>HV8301-9920.7</t>
  </si>
  <si>
    <t>https://ebookcentral.proquest.com/lib/iuavit/detail.action?docID=6422796</t>
  </si>
  <si>
    <t>Future Skills : Lernen der Zukunft - Hochschule der Zukunft</t>
  </si>
  <si>
    <t>Ehlers, Ulf-Daniel</t>
  </si>
  <si>
    <t>https://ebookcentral.proquest.com/lib/iuavit/detail.action?docID=6422797</t>
  </si>
  <si>
    <t>The Future Internet : Future Internet Assembly 2012: from Promises to Reality</t>
  </si>
  <si>
    <t>Alvarez, Federico;Cleary, Frances;Daras, Petros;Domingue, John;Galis, Alex;Garcia, Ana;Gavras, Anastasius;Karnourskos, Stamatis;Krco, Srdjan;Li, Man-Sze</t>
  </si>
  <si>
    <t>https://ebookcentral.proquest.com/lib/iuavit/detail.action?docID=6422798</t>
  </si>
  <si>
    <t>Iutam : A Short History</t>
  </si>
  <si>
    <t>Eberhard, Peter;Juhasz, Stephen</t>
  </si>
  <si>
    <t>Engineering; Engineering: General; Engineering: Civil</t>
  </si>
  <si>
    <t>https://ebookcentral.proquest.com/lib/iuavit/detail.action?docID=6422799</t>
  </si>
  <si>
    <t>Applying the Kaizen in Africa : A New Avenue for Industrial Development</t>
  </si>
  <si>
    <t>Otsuka, Keijiro;Jin, Kimiaki;Sonobe, Tetsushi</t>
  </si>
  <si>
    <t>https://ebookcentral.proquest.com/lib/iuavit/detail.action?docID=6422800</t>
  </si>
  <si>
    <t>Efficient Learning Machines : Theories, Concepts, and Applications for Engineers and System Designers</t>
  </si>
  <si>
    <t>Awad, Mariette;Khanna, Rahul</t>
  </si>
  <si>
    <t>https://ebookcentral.proquest.com/lib/iuavit/detail.action?docID=6422801</t>
  </si>
  <si>
    <t>S-BPM in the Wild : Practical Value Creation</t>
  </si>
  <si>
    <t>Fleischmann, Albert;Schmidt, Werner;Stary, Christian</t>
  </si>
  <si>
    <t>HD30.19-.29</t>
  </si>
  <si>
    <t>https://ebookcentral.proquest.com/lib/iuavit/detail.action?docID=6422803</t>
  </si>
  <si>
    <t>Animals and the Shaping of Modern Medicine : One Health and Its Histories</t>
  </si>
  <si>
    <t>Woods, Abigail;Bresalier, Michael;Cassidy, Angela;Mason Dentinger, Rachel</t>
  </si>
  <si>
    <t>Medicine; Science</t>
  </si>
  <si>
    <t>https://ebookcentral.proquest.com/lib/iuavit/detail.action?docID=6422804</t>
  </si>
  <si>
    <t>Synchronized Factories : Latin America and the Caribbean in the Era of Global Value Chains</t>
  </si>
  <si>
    <t>Blyde, Juan S.</t>
  </si>
  <si>
    <t>HF1351-1647</t>
  </si>
  <si>
    <t>https://ebookcentral.proquest.com/lib/iuavit/detail.action?docID=6422806</t>
  </si>
  <si>
    <t>Platform Embedded Security Technology Revealed : Safeguarding the Future of Computing with Intel Embedded Security and Management Engine</t>
  </si>
  <si>
    <t>Ruan, Xiaoyu</t>
  </si>
  <si>
    <t>https://ebookcentral.proquest.com/lib/iuavit/detail.action?docID=6422807</t>
  </si>
  <si>
    <t>Connecting Mathematics and Mathematics Education : Collected Papers on Mathematics Education As a Design Science</t>
  </si>
  <si>
    <t>Wittmann, Erich Christian</t>
  </si>
  <si>
    <t>https://ebookcentral.proquest.com/lib/iuavit/detail.action?docID=6422808</t>
  </si>
  <si>
    <t>The Globalization of Science Curricula</t>
  </si>
  <si>
    <t>Stacey, Oliver;De Lazzari, Giulia;Grayson, Hilary;Griffin, Hazel;Jones, Emily;Taylor, Amanda;Thomas, David</t>
  </si>
  <si>
    <t>https://ebookcentral.proquest.com/lib/iuavit/detail.action?docID=6422809</t>
  </si>
  <si>
    <t>Altern Im Wandel : Zwei Jahrzehnte Deutscher Alterssurvey (DEAS)</t>
  </si>
  <si>
    <t>Mahne, Katharina;Wolff, Julia Katharina;Simonson, Julia;Tesch-Römer, Clemens</t>
  </si>
  <si>
    <t>https://ebookcentral.proquest.com/lib/iuavit/detail.action?docID=6422811</t>
  </si>
  <si>
    <t>Hormones, Metabolism and the Benefits of Exercise</t>
  </si>
  <si>
    <t>Spiegelman, Bruce</t>
  </si>
  <si>
    <t>https://ebookcentral.proquest.com/lib/iuavit/detail.action?docID=6422812</t>
  </si>
  <si>
    <t>Mercury Pollution in Minamata</t>
  </si>
  <si>
    <t>Yokoyama, Hisashi</t>
  </si>
  <si>
    <t>https://ebookcentral.proquest.com/lib/iuavit/detail.action?docID=6422813</t>
  </si>
  <si>
    <t>Urbanization, Biodiversity and Ecosystem Services: Challenges and Opportunities : A Global Assessment</t>
  </si>
  <si>
    <t>Elmqvist, Thomas;Fragkias, Michail;Goodness, Julie;Güneralp, Burak;Marcotullio, Peter J.;McDonald, Robert I.;Parnell, Susan;Schewenius, Maria;Sendstad, Marte;Seto, Karen C.</t>
  </si>
  <si>
    <t>QH541.5.C6</t>
  </si>
  <si>
    <t>https://ebookcentral.proquest.com/lib/iuavit/detail.action?docID=6422817</t>
  </si>
  <si>
    <t>Bildungsverläufe Von der Einschulung Bis in Den Ersten Arbeitsmarkt : Theoretische Ansätze, Empirische Befunde und Beispiele</t>
  </si>
  <si>
    <t>Neuenschwander, Markus P.;Nägele, Christof</t>
  </si>
  <si>
    <t>LC189-214.53</t>
  </si>
  <si>
    <t>https://ebookcentral.proquest.com/lib/iuavit/detail.action?docID=6422819</t>
  </si>
  <si>
    <t>Belly-Rippers, Surgical Innovation and the Ovariotomy Controversy</t>
  </si>
  <si>
    <t>Frampton, Sally</t>
  </si>
  <si>
    <t>https://ebookcentral.proquest.com/lib/iuavit/detail.action?docID=6422820</t>
  </si>
  <si>
    <t>Assessment in Mathematics Education : Large-Scale Assessment and Classroom Assessment</t>
  </si>
  <si>
    <t>Suurtamm, Christine;Thompson, Denisse R.;Kim, Rae Young;Moreno, Leonora Diaz;Sayac, Nathalie;Schukajlow, Stanislaw;Silver, Edward;Ufer, Stefan;Vos, Pauline</t>
  </si>
  <si>
    <t>https://ebookcentral.proquest.com/lib/iuavit/detail.action?docID=6422821</t>
  </si>
  <si>
    <t>Human Rights in Child Protection : Implications for Professional Practice and Policy</t>
  </si>
  <si>
    <t>Falch-Eriksen, Asgeir;Backe-Hansen, Elisabeth</t>
  </si>
  <si>
    <t>https://ebookcentral.proquest.com/lib/iuavit/detail.action?docID=6422822</t>
  </si>
  <si>
    <t>Ganzheitliche Digitalisierung Von Prozessen : Perspektivenwechsel - Design Thinking - Wertegeleitete Interaktion</t>
  </si>
  <si>
    <t>Fleischmann, Albert;Oppl, Stefan;Schmidt, Werner;Stary, Christian</t>
  </si>
  <si>
    <t>https://ebookcentral.proquest.com/lib/iuavit/detail.action?docID=6422823</t>
  </si>
  <si>
    <t>Empirical Research in Statistics Education</t>
  </si>
  <si>
    <t>Eichler, Andreas;Zapata-Cardona, Lucía</t>
  </si>
  <si>
    <t>https://ebookcentral.proquest.com/lib/iuavit/detail.action?docID=6422825</t>
  </si>
  <si>
    <t>Impact of Information Society Research in the Global South</t>
  </si>
  <si>
    <t>Chib, Arul;May, Julian;Barrantes, Roxana</t>
  </si>
  <si>
    <t>https://ebookcentral.proquest.com/lib/iuavit/detail.action?docID=6422826</t>
  </si>
  <si>
    <t>Optimizing HPC Applications with Intel Cluster Tools : Hunting Petaflops</t>
  </si>
  <si>
    <t>Supalov, Alexander;Semin, Andrey;Dahnken, Christopher;Klemm, Michael</t>
  </si>
  <si>
    <t>https://ebookcentral.proquest.com/lib/iuavit/detail.action?docID=6422827</t>
  </si>
  <si>
    <t>The Future of the Bamiyan Buddha Statues : Heritage Reconstruction in Theory and Practice</t>
  </si>
  <si>
    <t>Nagaoka, Masanori</t>
  </si>
  <si>
    <t>CC1-960</t>
  </si>
  <si>
    <t>https://ebookcentral.proquest.com/lib/iuavit/detail.action?docID=6422828</t>
  </si>
  <si>
    <t>Taking Stock of Industrial Ecology</t>
  </si>
  <si>
    <t>Clift, Roland;Druckman, Angela</t>
  </si>
  <si>
    <t>https://ebookcentral.proquest.com/lib/iuavit/detail.action?docID=6422829</t>
  </si>
  <si>
    <t>Soziale Netzwerke und Gesundheitliche Ungleichheiten : Eine Neue Perspektive Für Die Forschung</t>
  </si>
  <si>
    <t>Klärner, Andreas;Gamper, Markus;Keim - Klärner, Sylvia;Moor, Irene;von der Lippe, Holger;Vonneilich, Nico</t>
  </si>
  <si>
    <t>https://ebookcentral.proquest.com/lib/iuavit/detail.action?docID=6422830</t>
  </si>
  <si>
    <t>Managing Protected Areas in Central and Eastern Europe under Climate Change</t>
  </si>
  <si>
    <t>Rannow, Sven;Neubert, Marco</t>
  </si>
  <si>
    <t>https://ebookcentral.proquest.com/lib/iuavit/detail.action?docID=6422831</t>
  </si>
  <si>
    <t>Sustainable Land Use and Rural Development in Southeast Asia: Innovations and Policies for Mountainous Areas</t>
  </si>
  <si>
    <t>öhlich, Holger L.;Schreinemachers, Pepijn;Stahr, Karl;Clemens, Gerhard</t>
  </si>
  <si>
    <t>https://ebookcentral.proquest.com/lib/iuavit/detail.action?docID=6422832</t>
  </si>
  <si>
    <t>Contemporary Turkey at a Glance : Interdisciplinary Perspectives on Local and Translocal Dynamics</t>
  </si>
  <si>
    <t>Kamp, Kristina;Kaya, Ayhan;Keyman, E. Fuat;Onursal Besgul, Ozge</t>
  </si>
  <si>
    <t>https://ebookcentral.proquest.com/lib/iuavit/detail.action?docID=6422833</t>
  </si>
  <si>
    <t>Research on Teaching and Learning Probability</t>
  </si>
  <si>
    <t>Batanero, Carmen;Chernoff, Egan J.;Engel, Joachim;Lee, Hollylynne S.;Sánchez, Ernesto</t>
  </si>
  <si>
    <t>https://ebookcentral.proquest.com/lib/iuavit/detail.action?docID=6422834</t>
  </si>
  <si>
    <t>Interface Oral Health Science 2014 : Innovative Research on Biosis-Abiosis Intelligent Interface</t>
  </si>
  <si>
    <t>616.3/1</t>
  </si>
  <si>
    <t>https://ebookcentral.proquest.com/lib/iuavit/detail.action?docID=6422835</t>
  </si>
  <si>
    <t>Ester Boserup's Legacy on Sustainability : Orientations for Contemporary Research</t>
  </si>
  <si>
    <t>Fischer-Kowalski, Marina;Reenberg, Anette;Schaffartzik, Anke;Mayer, Andreas</t>
  </si>
  <si>
    <t>Environmental Studies; Business/Management; Economics</t>
  </si>
  <si>
    <t>https://ebookcentral.proquest.com/lib/iuavit/detail.action?docID=6422836</t>
  </si>
  <si>
    <t>Beyond the Limits to Growth : New Ideas for Sustainability from Japan</t>
  </si>
  <si>
    <t>Komiyama, Hiroshi</t>
  </si>
  <si>
    <t>https://ebookcentral.proquest.com/lib/iuavit/detail.action?docID=6422837</t>
  </si>
  <si>
    <t>Problem Solving in Mathematics Education</t>
  </si>
  <si>
    <t>Liljedahl, Peter;Santos-Trigo, Manuel;Malaspina, Uldarico;Bruder, Regina</t>
  </si>
  <si>
    <t>https://ebookcentral.proquest.com/lib/iuavit/detail.action?docID=6422838</t>
  </si>
  <si>
    <t>Klimawandel in Deutschland : Entwicklung, Folgen, Risiken und Perspektiven</t>
  </si>
  <si>
    <t>Brasseur, Guy P.;Jacob, Daniela;Schuck-Zöller, Susanne</t>
  </si>
  <si>
    <t>https://ebookcentral.proquest.com/lib/iuavit/detail.action?docID=6422840</t>
  </si>
  <si>
    <t>Fulfilling the Promise of Technology Transfer : Fostering Innovation for the Benefit of Society</t>
  </si>
  <si>
    <t>Hishida, Koichi</t>
  </si>
  <si>
    <t>https://ebookcentral.proquest.com/lib/iuavit/detail.action?docID=6422841</t>
  </si>
  <si>
    <t>The Ethics of Medical Data Donation</t>
  </si>
  <si>
    <t>Krutzinna, Jenny;Floridi, Luciano</t>
  </si>
  <si>
    <t>RA1-418.5</t>
  </si>
  <si>
    <t>https://ebookcentral.proquest.com/lib/iuavit/detail.action?docID=6422842</t>
  </si>
  <si>
    <t>Die Finanzkrise 2008 Im Unbewussten : Über Die Ökonomie des Seelenlebens in Zeiten der Krise</t>
  </si>
  <si>
    <t>Klug, Helga</t>
  </si>
  <si>
    <t>https://ebookcentral.proquest.com/lib/iuavit/detail.action?docID=6422843</t>
  </si>
  <si>
    <t>Bordieuan Field Theory As an Instrument for Military Operational Analysis</t>
  </si>
  <si>
    <t>Gunneriusson, Håkan</t>
  </si>
  <si>
    <t>Political Science; Military Science</t>
  </si>
  <si>
    <t>JC11-607</t>
  </si>
  <si>
    <t>https://ebookcentral.proquest.com/lib/iuavit/detail.action?docID=6422844</t>
  </si>
  <si>
    <t>Agential Realism Als Basis Queer(end)er Experimentalpsychologie : Eine Wissenschaftstheoretische Auseinandersetzung</t>
  </si>
  <si>
    <t>Scholz, Julia</t>
  </si>
  <si>
    <t>https://ebookcentral.proquest.com/lib/iuavit/detail.action?docID=6422845</t>
  </si>
  <si>
    <t>Preparing for Life in a Digital Age : The IEA International Computer and Information Literacy Study International Report</t>
  </si>
  <si>
    <t>Fraillon, Julian;Ainley, John;Schulz, Wolfram;Friedman, Tim;Gebhardt, Eveline</t>
  </si>
  <si>
    <t>https://ebookcentral.proquest.com/lib/iuavit/detail.action?docID=6422846</t>
  </si>
  <si>
    <t>Knowledge and Networks</t>
  </si>
  <si>
    <t>Glückler, Johannes;Lazega, Emmanuel;Hammer, Ingmar</t>
  </si>
  <si>
    <t>Social Science; Business/Management; Geography/Travel</t>
  </si>
  <si>
    <t>https://ebookcentral.proquest.com/lib/iuavit/detail.action?docID=6422847</t>
  </si>
  <si>
    <t>Harkins, Malcolm W.</t>
  </si>
  <si>
    <t>https://ebookcentral.proquest.com/lib/iuavit/detail.action?docID=6422848</t>
  </si>
  <si>
    <t>Healthcare, Frugal Innovation, and Professional Voluntarism : A Cost-Benefit Analysis</t>
  </si>
  <si>
    <t>Ackers, Helen Louise;Ackers-Johnson, James;Chatwin, John;Tyler, Natasha</t>
  </si>
  <si>
    <t>https://ebookcentral.proquest.com/lib/iuavit/detail.action?docID=6422850</t>
  </si>
  <si>
    <t>Cognitive Supervision for Robot-Assisted Minimally Invasive Laser Surgery</t>
  </si>
  <si>
    <t>Fichera, Loris</t>
  </si>
  <si>
    <t>R856-857</t>
  </si>
  <si>
    <t>https://ebookcentral.proquest.com/lib/iuavit/detail.action?docID=6422851</t>
  </si>
  <si>
    <t>Pentecostalism and Witchcraft : Spiritual Warfare in Africa and Melanesia</t>
  </si>
  <si>
    <t>Rio, Knut;MacCarthy, Michelle;Blanes, Ruy</t>
  </si>
  <si>
    <t>https://ebookcentral.proquest.com/lib/iuavit/detail.action?docID=6422852</t>
  </si>
  <si>
    <t>S-BPM Illustrated : A Storybook about Business Process Modeling and Execution</t>
  </si>
  <si>
    <t>Fleischmann, Albert;Raß, Stefan;Singer, Robert</t>
  </si>
  <si>
    <t>https://ebookcentral.proquest.com/lib/iuavit/detail.action?docID=6422853</t>
  </si>
  <si>
    <t>Dependable Embedded Systems</t>
  </si>
  <si>
    <t>Henkel, Jörg;Dutt, Nikil</t>
  </si>
  <si>
    <t>TK7867-7867.5</t>
  </si>
  <si>
    <t>https://ebookcentral.proquest.com/lib/iuavit/detail.action?docID=6422854</t>
  </si>
  <si>
    <t>Earthquakes, Tsunamis and Nuclear Risks : Prediction and Assessment Beyond the Fukushima Accident</t>
  </si>
  <si>
    <t>Kamae, Katsuhiro</t>
  </si>
  <si>
    <t>Engineering: General; Engineering; Environmental Studies</t>
  </si>
  <si>
    <t>https://ebookcentral.proquest.com/lib/iuavit/detail.action?docID=6422855</t>
  </si>
  <si>
    <t>AiREAS: Sustainocracy for a Healthy City : The Invisible Made Visible Phase 1</t>
  </si>
  <si>
    <t>Close, Jean-Paul</t>
  </si>
  <si>
    <t>https://ebookcentral.proquest.com/lib/iuavit/detail.action?docID=6422856</t>
  </si>
  <si>
    <t>Africa-Europe Research and Innovation Cooperation : Global Challenges, Bi-Regional Responses</t>
  </si>
  <si>
    <t>Cherry, Andrew;Haselip, James;Ralphs, Gerard;Wagner, Isabella E.</t>
  </si>
  <si>
    <t>Political Science; Science: General</t>
  </si>
  <si>
    <t>https://ebookcentral.proquest.com/lib/iuavit/detail.action?docID=6422857</t>
  </si>
  <si>
    <t>Freshwater Governance for the 21st Century</t>
  </si>
  <si>
    <t>Karar, Eiman</t>
  </si>
  <si>
    <t>Science; Economics; Environmental Studies; Science: Geology</t>
  </si>
  <si>
    <t>https://ebookcentral.proquest.com/lib/iuavit/detail.action?docID=6422859</t>
  </si>
  <si>
    <t>Russia's Turn to the East : Domestic Policymaking and Regional Cooperation</t>
  </si>
  <si>
    <t>Blakkisrud, Helge;Wilson Rowe, Elana</t>
  </si>
  <si>
    <t>Political Science; Business/Management</t>
  </si>
  <si>
    <t>https://ebookcentral.proquest.com/lib/iuavit/detail.action?docID=6422860</t>
  </si>
  <si>
    <t>Atlas of Challenges and Opportunities in European Neighbourhoods</t>
  </si>
  <si>
    <t>BECKOUCHE, Pierre;BESNARD, Pierre;PECOUT, Hugues</t>
  </si>
  <si>
    <t>Geography/Travel; Political Science; Social Science</t>
  </si>
  <si>
    <t>https://ebookcentral.proquest.com/lib/iuavit/detail.action?docID=6422861</t>
  </si>
  <si>
    <t>Earth Observation Open Science and Innovation</t>
  </si>
  <si>
    <t>Mathieu, Pierre-Philippe;Aubrecht, Christoph</t>
  </si>
  <si>
    <t>https://ebookcentral.proquest.com/lib/iuavit/detail.action?docID=6422862</t>
  </si>
  <si>
    <t>Proceedings of the Scientific-Practical Conference Research and Development - 2016</t>
  </si>
  <si>
    <t>Anisimov, K. V.;Dub, A. V.;Kolpakov, S. K.;Lisitsa, A. V.;Petrov, A. N.;Polukarov, V. P.;Popel, O. S.;Vinokurov, V. A.</t>
  </si>
  <si>
    <t>Engineering; Engineering: General; Science: General</t>
  </si>
  <si>
    <t>https://ebookcentral.proquest.com/lib/iuavit/detail.action?docID=6422863</t>
  </si>
  <si>
    <t>Current and Future Perspectives of Ethnomathematics As a Program</t>
  </si>
  <si>
    <t>Rosa, Milton;D'Ambrosio, Ubiratan;Orey, Daniel Clark;Shirley, Lawrence;Alangui, Wilfredo V.;Palhares, Pedro;Gavarrete, Maria Elena</t>
  </si>
  <si>
    <t>https://ebookcentral.proquest.com/lib/iuavit/detail.action?docID=6422864</t>
  </si>
  <si>
    <t>High Density Lipoproteins : From Biological Understanding to Clinical Exploitation</t>
  </si>
  <si>
    <t>von Eckardstein, Arnold;Kardassis, Dimitris</t>
  </si>
  <si>
    <t>Science: Anatomy/Physiology; Science; Medicine; Pharmacy</t>
  </si>
  <si>
    <t>RM300-666</t>
  </si>
  <si>
    <t>https://ebookcentral.proquest.com/lib/iuavit/detail.action?docID=6422866</t>
  </si>
  <si>
    <t>AiREAS: Sustainocracy for a Healthy City : Phase 3: Civilian Participation - Including the Global Health Deal Proposition</t>
  </si>
  <si>
    <t>https://ebookcentral.proquest.com/lib/iuavit/detail.action?docID=6422869</t>
  </si>
  <si>
    <t>New Horizons for Asian Museums and Museology</t>
  </si>
  <si>
    <t>Sonoda, Naoko</t>
  </si>
  <si>
    <t>History; Museums</t>
  </si>
  <si>
    <t>https://ebookcentral.proquest.com/lib/iuavit/detail.action?docID=6422870</t>
  </si>
  <si>
    <t>Solving the Powertrain Puzzle : 10th Schaeffler Symposium April 3/4 2014</t>
  </si>
  <si>
    <t>Schaeffler Technologies GmbH &amp; Co. KG, Schaeffler Technologies</t>
  </si>
  <si>
    <t>https://ebookcentral.proquest.com/lib/iuavit/detail.action?docID=6422872</t>
  </si>
  <si>
    <t>Proceedings of the International Conference on Social Modeling and Simulation, Plus Econophysics Colloquium 2014</t>
  </si>
  <si>
    <t>Takayasu, Hideki;Ito, Nobuyasu;Noda, Itsuki;Takayasu, Misako</t>
  </si>
  <si>
    <t>Q295</t>
  </si>
  <si>
    <t>https://ebookcentral.proquest.com/lib/iuavit/detail.action?docID=6422875</t>
  </si>
  <si>
    <t>Global Perspectives on Recognising Non-Formal and Informal Learning : Why Recognition Matters</t>
  </si>
  <si>
    <t>Singh, Madhu</t>
  </si>
  <si>
    <t>https://ebookcentral.proquest.com/lib/iuavit/detail.action?docID=6422876</t>
  </si>
  <si>
    <t>A Fair Share of Tax : A Fiscal Anthropology of Contemporary Sweden</t>
  </si>
  <si>
    <t>Björklund Larsen, Lotta</t>
  </si>
  <si>
    <t>HB1-846.8</t>
  </si>
  <si>
    <t>https://ebookcentral.proquest.com/lib/iuavit/detail.action?docID=6422877</t>
  </si>
  <si>
    <t>Zukunft der Arbeit in Industrie 4. 0</t>
  </si>
  <si>
    <t>Botthof, Alfons;Hartmann, Ernst Andreas</t>
  </si>
  <si>
    <t>https://ebookcentral.proquest.com/lib/iuavit/detail.action?docID=6422878</t>
  </si>
  <si>
    <t>Evolution, Monitoring and Predicting Models of Rockburst : Precursor Information for Rock Failure</t>
  </si>
  <si>
    <t>Wang, Chunlai</t>
  </si>
  <si>
    <t>Engineering; Engineering: Mining; Engineering: Civil</t>
  </si>
  <si>
    <t>https://ebookcentral.proquest.com/lib/iuavit/detail.action?docID=6422879</t>
  </si>
  <si>
    <t>Ein Neuer Gesellschaftsvertrag Für eine Nachhaltige Landwirtschaft : Wege Zu Einer Integrativen Politik Für Den Agrarsektor</t>
  </si>
  <si>
    <t>Feindt, Peter H.;Krämer, Christine;üh-Müller, Andrea;Heißenhuber, Alois;Pahl-Wostl, Claudia;Purnhagen, Kai P.;Thomas, Fabian;van Bers, Caroline;Wolters, Volkmar</t>
  </si>
  <si>
    <t>KJE901-9796</t>
  </si>
  <si>
    <t>https://ebookcentral.proquest.com/lib/iuavit/detail.action?docID=6422880</t>
  </si>
  <si>
    <t>Model-Based Demography : Essays on Integrating Data, Technique and Theory</t>
  </si>
  <si>
    <t>Burch, Thomas K.</t>
  </si>
  <si>
    <t>https://ebookcentral.proquest.com/lib/iuavit/detail.action?docID=6422881</t>
  </si>
  <si>
    <t>Krankenhaus-Report 2020 : Finanzierung und Vergütung Am Scheideweg</t>
  </si>
  <si>
    <t>Klauber, Jürgen;Geraedts, Max;Friedrich, Jörg;Wasem, Jürgen;Beivers, Andreas</t>
  </si>
  <si>
    <t>https://ebookcentral.proquest.com/lib/iuavit/detail.action?docID=6422882</t>
  </si>
  <si>
    <t>Sequence Analysis and Related Approaches : Innovative Methods and Applications</t>
  </si>
  <si>
    <t>Ritschard, Gilbert;Studer, Matthias</t>
  </si>
  <si>
    <t>https://ebookcentral.proquest.com/lib/iuavit/detail.action?docID=6422883</t>
  </si>
  <si>
    <t>New Frontiers in Social Innovation Research</t>
  </si>
  <si>
    <t>Nicholls, Alex;Simon, Julie;Gabriel, Madeleine;Whelan, Christopher</t>
  </si>
  <si>
    <t>Business/Management; Political Science; Economics</t>
  </si>
  <si>
    <t>JC479</t>
  </si>
  <si>
    <t>338/.064</t>
  </si>
  <si>
    <t>https://ebookcentral.proquest.com/lib/iuavit/detail.action?docID=6422884</t>
  </si>
  <si>
    <t>Stoßprobleme in Physik, Technik und Medizin : Grundlagen und Anwendungen</t>
  </si>
  <si>
    <t>Willert, Emanuel</t>
  </si>
  <si>
    <t>https://ebookcentral.proquest.com/lib/iuavit/detail.action?docID=6422885</t>
  </si>
  <si>
    <t>Advancing Culture of Living with Landslides : Volume 1 ISDR-ICL Sendai Partnerships 2015-2025</t>
  </si>
  <si>
    <t>Sassa, Kyoji;Mikos, Matjaž;Yin, Yueping</t>
  </si>
  <si>
    <t>GB5000-5030</t>
  </si>
  <si>
    <t>https://ebookcentral.proquest.com/lib/iuavit/detail.action?docID=6422886</t>
  </si>
  <si>
    <t>Digitalisierung : Bildung, Technik, Innovation</t>
  </si>
  <si>
    <t>https://ebookcentral.proquest.com/lib/iuavit/detail.action?docID=6422887</t>
  </si>
  <si>
    <t>System-Aufstellungen und Ihre Naturwissenschaftliche Begründung : Grundlage Für eine Innovative Methode Zur Entscheidungsfindung in der Unternehmensführung</t>
  </si>
  <si>
    <t>Gehlert, Thomas</t>
  </si>
  <si>
    <t>https://ebookcentral.proquest.com/lib/iuavit/detail.action?docID=6422889</t>
  </si>
  <si>
    <t>Diversity and Evolution of Butterfly Wing Patterns : An Integrative Approach</t>
  </si>
  <si>
    <t>Sekimura, Toshio;Nijhout, H. Frederik</t>
  </si>
  <si>
    <t>QH426-470</t>
  </si>
  <si>
    <t>https://ebookcentral.proquest.com/lib/iuavit/detail.action?docID=6422890</t>
  </si>
  <si>
    <t>Messung Von Ressourceneffizienz Mit der ESSENZ-Methode : Integrierte Methode Zur Ganzheitlichen Bewertung</t>
  </si>
  <si>
    <t>Bach, Vanessa;Berger, Markus;Henßler, Martin;Kirchner, Martin;Leiser, Stefan;Mohr, Lisa;Rother, Elmar;Ruhland, Klaus;Schneider, Laura;Tikana, Ladji</t>
  </si>
  <si>
    <t>https://ebookcentral.proquest.com/lib/iuavit/detail.action?docID=6422891</t>
  </si>
  <si>
    <t>Stochastics of Environmental and Financial Economics : Centre of Advanced Study, Oslo, Norway, 2014-2015</t>
  </si>
  <si>
    <t>Benth, Fred Espen;Di Nunno, Giulia</t>
  </si>
  <si>
    <t>Mathematics; Economics</t>
  </si>
  <si>
    <t>https://ebookcentral.proquest.com/lib/iuavit/detail.action?docID=6422893</t>
  </si>
  <si>
    <t>Marginality : Addressing the Nexus of Poverty, Exclusion and Ecology</t>
  </si>
  <si>
    <t>von Braun, Joachim;Gatzweiler, Franz W.</t>
  </si>
  <si>
    <t>https://ebookcentral.proquest.com/lib/iuavit/detail.action?docID=6422895</t>
  </si>
  <si>
    <t>Global History and New Polycentric Approaches : Europe, Asia and the Americas in a World Network System</t>
  </si>
  <si>
    <t>Perez Garcia, Manuel;De Sousa, Lucio</t>
  </si>
  <si>
    <t>D17-24.5</t>
  </si>
  <si>
    <t>https://ebookcentral.proquest.com/lib/iuavit/detail.action?docID=6422896</t>
  </si>
  <si>
    <t>Brain and Human Body Modeling 2020 : Computational Human Models Presented at EMBC 2019 and the BRAIN Initiative® 2019 Meeting</t>
  </si>
  <si>
    <t>Makarov, Sergey N.;Noetscher, Gregory M.;Nummenmaa, Aapo</t>
  </si>
  <si>
    <t>https://ebookcentral.proquest.com/lib/iuavit/detail.action?docID=6422897</t>
  </si>
  <si>
    <t>Internal Crowdsourcing in Companies : Theoretical Foundations and Practical Applications</t>
  </si>
  <si>
    <t>Ulbrich, Hannah;Wedel, Marco;Dienel, Hans-Liudger</t>
  </si>
  <si>
    <t>HF5549-5549.5</t>
  </si>
  <si>
    <t>https://ebookcentral.proquest.com/lib/iuavit/detail.action?docID=6422898</t>
  </si>
  <si>
    <t>Bird Species : How They Arise, Modify and Vanish</t>
  </si>
  <si>
    <t>Tietze, Dieter Thomas</t>
  </si>
  <si>
    <t>QL1-991</t>
  </si>
  <si>
    <t>https://ebookcentral.proquest.com/lib/iuavit/detail.action?docID=6422899</t>
  </si>
  <si>
    <t>Uses of Technology in Upper Secondary Mathematics Education</t>
  </si>
  <si>
    <t>Hegedus, Stephen;Laborde, Colette;Brady, Corey;Dalton, Sara;Siller, Hans-Stefan;Tabach, Michal;Trgalova, Jana;Moreno-Armella, Luis</t>
  </si>
  <si>
    <t>https://ebookcentral.proquest.com/lib/iuavit/detail.action?docID=6422900</t>
  </si>
  <si>
    <t>The Impact of Food Bioactives on Health : In Vitro and Ex Vivo Models</t>
  </si>
  <si>
    <t>Verhoeckx, Kitty;Cotter, Paul;López-Expósito, Iván;Kleiveland, Charlotte;Lea, Tor;Mackie, Alan;Requena, Teresa;Swiatecka, Dominika;Wichers, Harry</t>
  </si>
  <si>
    <t>https://ebookcentral.proquest.com/lib/iuavit/detail.action?docID=6422901</t>
  </si>
  <si>
    <t>The Future Internet : Future Internet Assembly 2011: Achievements and Technological Promises</t>
  </si>
  <si>
    <t>Domingue, John;Galis, Alex;Gavras, Anastasius;Zahariadis, Theodore;Lambert, Dave;Cleary, Frances;Daras, Petros;Krco, Srdjan;Müller, Henning;Li, Man-Sze</t>
  </si>
  <si>
    <t>https://ebookcentral.proquest.com/lib/iuavit/detail.action?docID=6422902</t>
  </si>
  <si>
    <t>Hamburger Klimabericht - Wissen über Klima, Klimawandel und Auswirkungen in Hamburg und Norddeutschland</t>
  </si>
  <si>
    <t>von Storch, Hans;Meinke, Insa;Claußen, Martin</t>
  </si>
  <si>
    <t>https://ebookcentral.proquest.com/lib/iuavit/detail.action?docID=6422903</t>
  </si>
  <si>
    <t>Autonome Shuttlebusse Im ÖPNV : Analysen und Bewertungen Zum Fallbeispiel Bad Birnbach Aus Technischer, Gesellschaftlicher und Planerischer Sicht</t>
  </si>
  <si>
    <t>Riener, Andreas;Appel, Alexandra;Dorner, Wolfgang;Huber, Thomas;Kolb, Jan Christopher;Wagner, Harry</t>
  </si>
  <si>
    <t>https://ebookcentral.proquest.com/lib/iuavit/detail.action?docID=6422904</t>
  </si>
  <si>
    <t>Intel Galileo and Intel Galileo Gen 2 : API Features and Arduino Projects for Linux Programmers</t>
  </si>
  <si>
    <t>Ramon, Manoel</t>
  </si>
  <si>
    <t>https://ebookcentral.proquest.com/lib/iuavit/detail.action?docID=6422905</t>
  </si>
  <si>
    <t>Transparenz öffentlicher Einkaufsdaten in Deutschland : Anforderungen und Handlungsfelder Im Kontext Von Open Government</t>
  </si>
  <si>
    <t>Reuter, Britta</t>
  </si>
  <si>
    <t>https://ebookcentral.proquest.com/lib/iuavit/detail.action?docID=6422906</t>
  </si>
  <si>
    <t>Error-Correction Coding and Decoding : Bounds, Codes, Decoders, Analysis and Applications</t>
  </si>
  <si>
    <t>Tomlinson, Martin;Tjhai, Cen Jung;Ambroze, Marcel A.;Ahmed, Mohammed;Jibril, Mubarak</t>
  </si>
  <si>
    <t>Engineering: Electrical; Computer Science/IT; Engineering</t>
  </si>
  <si>
    <t>https://ebookcentral.proquest.com/lib/iuavit/detail.action?docID=6422907</t>
  </si>
  <si>
    <t>Public Health Ethics: Cases Spanning the Globe</t>
  </si>
  <si>
    <t>H. Barrett, Drue;W. Ortmann, Leonard;Dawson, Angus;Saenz, Carla;Reis, Andreas;Bolan, Gail</t>
  </si>
  <si>
    <t>https://ebookcentral.proquest.com/lib/iuavit/detail.action?docID=6422908</t>
  </si>
  <si>
    <t>Bridging Educational Leadership, Curriculum Theory and Didaktik : Non-Affirmative Theory of Education</t>
  </si>
  <si>
    <t>Uljens, Michael;Ylimaki, Rose M.</t>
  </si>
  <si>
    <t>LB2806.15</t>
  </si>
  <si>
    <t>https://ebookcentral.proquest.com/lib/iuavit/detail.action?docID=6422909</t>
  </si>
  <si>
    <t>Governance for Drought Resilience : Land and Water Drought Management in Europe</t>
  </si>
  <si>
    <t>Bressers, Hans;Bressers, Nanny;Larrue, corinne</t>
  </si>
  <si>
    <t>Environmental Studies; Social Science</t>
  </si>
  <si>
    <t>https://ebookcentral.proquest.com/lib/iuavit/detail.action?docID=6422910</t>
  </si>
  <si>
    <t>Energy Poverty : (Dis)Assembling Europe's Infrastructural Divide</t>
  </si>
  <si>
    <t>Bouzarovski, Stefan</t>
  </si>
  <si>
    <t>Economics; Social Science; Environmental Studies</t>
  </si>
  <si>
    <t>https://ebookcentral.proquest.com/lib/iuavit/detail.action?docID=6422911</t>
  </si>
  <si>
    <t>Literary Translation in Periodicals : Methodological Challenges for a Transnational Approach</t>
  </si>
  <si>
    <t>Fólica, Laura;Roig-Sanz, Diana;Caristia, Stefania</t>
  </si>
  <si>
    <t>PN241</t>
  </si>
  <si>
    <t>https://ebookcentral.proquest.com/lib/iuavit/detail.action?docID=6422918</t>
  </si>
  <si>
    <t>International Perspectives in Values-Based Mental Health Practice : Case Studies and Commentaries</t>
  </si>
  <si>
    <t>Stoyanov, Drozdstoy;Fulford, Bill;Stanghellini, Giovanni;Van Staden, Werdie;Wong, Michael Th</t>
  </si>
  <si>
    <t>RC434.2-574</t>
  </si>
  <si>
    <t>https://ebookcentral.proquest.com/lib/iuavit/detail.action?docID=6423981</t>
  </si>
  <si>
    <t>Writing Manuals for the Masses : The Rise of the Literary Advice Industry from Quill to Keyboard</t>
  </si>
  <si>
    <t>Masschelein, Anneleen;de Geest, Dirk</t>
  </si>
  <si>
    <t>PN1-PN6790</t>
  </si>
  <si>
    <t>https://ebookcentral.proquest.com/lib/iuavit/detail.action?docID=6425455</t>
  </si>
  <si>
    <t>One Hundred Years of Social Protection : The Changing Social Question in Brazil, India, China, and South Africa</t>
  </si>
  <si>
    <t>Leisering, Lutz</t>
  </si>
  <si>
    <t>https://ebookcentral.proquest.com/lib/iuavit/detail.action?docID=6425456</t>
  </si>
  <si>
    <t>Design Ethnography : Epistemology and Methodology</t>
  </si>
  <si>
    <t>Müller, Francis;Brailovsky, Anna</t>
  </si>
  <si>
    <t>https://ebookcentral.proquest.com/lib/iuavit/detail.action?docID=6425457</t>
  </si>
  <si>
    <t>P. Y. Galperin's Development of Human Mental Activity : Lectures in Educational Psychology</t>
  </si>
  <si>
    <t>Engeness, Irina</t>
  </si>
  <si>
    <t>LB1050.9-1091</t>
  </si>
  <si>
    <t>https://ebookcentral.proquest.com/lib/iuavit/detail.action?docID=6425458</t>
  </si>
  <si>
    <t>Contemporary Family Lifestyles in Central and Western Europe : Selected Cases</t>
  </si>
  <si>
    <t>Kraus, Blahoslav;Stasová, Leona;Junová, Iva</t>
  </si>
  <si>
    <t>https://ebookcentral.proquest.com/lib/iuavit/detail.action?docID=6425459</t>
  </si>
  <si>
    <t>Improving Potassium Recommendations for Agricultural Crops</t>
  </si>
  <si>
    <t>Murrell, T. Scott;Mikkelsen, Robert L.;Sulewski, Gavin;Norton, Robert;Thompson, Michael L.</t>
  </si>
  <si>
    <t>https://ebookcentral.proquest.com/lib/iuavit/detail.action?docID=6425460</t>
  </si>
  <si>
    <t>Model-Based Engineering of Collaborative Embedded Systems : Extensions of the SPES Methodology</t>
  </si>
  <si>
    <t>Böhm, Wolfgang;Broy, Manfred;Klein, Cornel;Pohl, Klaus;Rumpe, Bernhard;Schröck, Sebastian</t>
  </si>
  <si>
    <t>https://ebookcentral.proquest.com/lib/iuavit/detail.action?docID=6425461</t>
  </si>
  <si>
    <t>Soziale Arbeit und Sucht : Eine Bestandesaufnahme Aus der Praxis</t>
  </si>
  <si>
    <t>Krebs, Marcel;Mäder, Roger;Mezzera, Tanya</t>
  </si>
  <si>
    <t>Social Science; Medicine</t>
  </si>
  <si>
    <t>https://ebookcentral.proquest.com/lib/iuavit/detail.action?docID=6425462</t>
  </si>
  <si>
    <t>Perceptions of the Independence of Judges in Europe : Congruence of Society and Judiciary</t>
  </si>
  <si>
    <t>van Dijk, Frans</t>
  </si>
  <si>
    <t>https://ebookcentral.proquest.com/lib/iuavit/detail.action?docID=6425463</t>
  </si>
  <si>
    <t>The Palgrave Handbook of Digital Russia Studies</t>
  </si>
  <si>
    <t>Gritsenko, Daria;Wijermars, Mariëlle;Kopotev, Mikhail</t>
  </si>
  <si>
    <t>https://ebookcentral.proquest.com/lib/iuavit/detail.action?docID=6425464</t>
  </si>
  <si>
    <t>The Palgrave Handbook of Family Policy</t>
  </si>
  <si>
    <t>Nieuwenhuis, Rense;Van Lancker, Wim</t>
  </si>
  <si>
    <t>HV697-3024</t>
  </si>
  <si>
    <t>https://ebookcentral.proquest.com/lib/iuavit/detail.action?docID=6425652</t>
  </si>
  <si>
    <t>What Works in Conservation 2020</t>
  </si>
  <si>
    <t>Sutherland, William J.;Dicks, Lynn V.;Petrovan, Silviu O.</t>
  </si>
  <si>
    <t>Environmental Studies; Economics; Science: Biology/Natural History; Science</t>
  </si>
  <si>
    <t>QH75 .W438 2020</t>
  </si>
  <si>
    <t>https://ebookcentral.proquest.com/lib/iuavit/detail.action?docID=6425716</t>
  </si>
  <si>
    <t>Terrestrial Mammal Conservation : Global Evidence for the Effects of Interventions for Terrestrial Mammals Excluding Bats and Primates</t>
  </si>
  <si>
    <t>Littlewood, Nick A.;Rocha, Ricardo;Smith, Rebecca K.;Martin, Philip A.;Lockhart, Sarah L.;Schoonover, Rebecca F.</t>
  </si>
  <si>
    <t>https://ebookcentral.proquest.com/lib/iuavit/detail.action?docID=6425717</t>
  </si>
  <si>
    <t>Mendl Mann's 'the Fall of Berlin'</t>
  </si>
  <si>
    <t>https://ebookcentral.proquest.com/lib/iuavit/detail.action?docID=6425718</t>
  </si>
  <si>
    <t>Global Warming in Local Discourses : How Communities Around the World Make Sense of Climate Change</t>
  </si>
  <si>
    <t>Brüggemann, Michael;Rödder, Simone</t>
  </si>
  <si>
    <t>Science: Geology; Social Science; Environmental Studies</t>
  </si>
  <si>
    <t>https://ebookcentral.proquest.com/lib/iuavit/detail.action?docID=6425719</t>
  </si>
  <si>
    <t>Die Phonetik Von äh Und ähm : Akustische Variation Von Füllpartikeln Im Deutschen</t>
  </si>
  <si>
    <t>Belz, Malte</t>
  </si>
  <si>
    <t>P1-1091</t>
  </si>
  <si>
    <t>https://ebookcentral.proquest.com/lib/iuavit/detail.action?docID=6425957</t>
  </si>
  <si>
    <t>2050 China : Becoming a Great Modern Socialist Country</t>
  </si>
  <si>
    <t>Hu, Angang;Yan, Yilong;Tang, Xiao;Liu, Shenglong</t>
  </si>
  <si>
    <t>JQ1-1852</t>
  </si>
  <si>
    <t>https://ebookcentral.proquest.com/lib/iuavit/detail.action?docID=6426640</t>
  </si>
  <si>
    <t>Machine Learning for Cyber Physical Systems : Selected Papers from the International Conference ML4CPS 2020</t>
  </si>
  <si>
    <t>Beyerer, Jürgen;Maier, Alexander;Niggemann, Oliver</t>
  </si>
  <si>
    <t>TK7895.E42</t>
  </si>
  <si>
    <t>https://ebookcentral.proquest.com/lib/iuavit/detail.action?docID=6436125</t>
  </si>
  <si>
    <t>Projekt- und Teamarbeit in der Digitalisierten Arbeitswelt : Herausforderungen, Strategien und Empfehlungen</t>
  </si>
  <si>
    <t>Mütze-Niewöhner, Susanne;Hacker, Winfried;Hardwig, Thomas;Kauffeld, Simone;Latniak, Erich;Nicklich, Manuel;Pietrzyk, Ulrike</t>
  </si>
  <si>
    <t>https://ebookcentral.proquest.com/lib/iuavit/detail.action?docID=6437858</t>
  </si>
  <si>
    <t>Von Bauingenieurinnen und Sozialarbeitern : Studien(fach)wahlen Im Kontext Von Sozialem Milieu und Geschlecht</t>
  </si>
  <si>
    <t>Loge, Lena</t>
  </si>
  <si>
    <t>https://ebookcentral.proquest.com/lib/iuavit/detail.action?docID=6437859</t>
  </si>
  <si>
    <t>Next Generation Supply Chains : A Roadmap for Research and Innovation</t>
  </si>
  <si>
    <t>Fornasiero, Rosanna;Sardesai, Saskia;Barros, Ana Cristina;Matopoulos, Aristides</t>
  </si>
  <si>
    <t>https://ebookcentral.proquest.com/lib/iuavit/detail.action?docID=6449030</t>
  </si>
  <si>
    <t>World Class Universities : A Contested Concept</t>
  </si>
  <si>
    <t>Rider, Sharon;Peters, Michael A.;Hyvönen, Mats;Besley, Tina</t>
  </si>
  <si>
    <t>LC71-188</t>
  </si>
  <si>
    <t>https://ebookcentral.proquest.com/lib/iuavit/detail.action?docID=6449031</t>
  </si>
  <si>
    <t>Safety for Particle Accelerators</t>
  </si>
  <si>
    <t>Otto, Thomas</t>
  </si>
  <si>
    <t>QC787.P3</t>
  </si>
  <si>
    <t>https://ebookcentral.proquest.com/lib/iuavit/detail.action?docID=6449033</t>
  </si>
  <si>
    <t>Internationale Zielmarktanalyse und Vertriebsentwicklung : Die Implementierung der Methodik des International Sales Accelerator Modells</t>
  </si>
  <si>
    <t>Reber geb. Wiesenauer, Simone</t>
  </si>
  <si>
    <t>https://ebookcentral.proquest.com/lib/iuavit/detail.action?docID=6449034</t>
  </si>
  <si>
    <t>The Evolutionary Dynamics of Discursive Knowledge : Communication-Theoretical Perspectives on an Empirical Philosophy of Science</t>
  </si>
  <si>
    <t>Leydesdorff, Loet</t>
  </si>
  <si>
    <t>https://ebookcentral.proquest.com/lib/iuavit/detail.action?docID=6449885</t>
  </si>
  <si>
    <t>Skills in Rheumatology</t>
  </si>
  <si>
    <t>Almoallim, Hani;Cheikh, Mohamed</t>
  </si>
  <si>
    <t>RC927-927.5</t>
  </si>
  <si>
    <t>https://ebookcentral.proquest.com/lib/iuavit/detail.action?docID=6451165</t>
  </si>
  <si>
    <t>Digital Transformation of Learning Organizations</t>
  </si>
  <si>
    <t>Ifenthaler, Dirk;Hofhues, Sandra;Egloffstein, Marc;Helbig, Christian</t>
  </si>
  <si>
    <t>LB2801-3095</t>
  </si>
  <si>
    <t>https://ebookcentral.proquest.com/lib/iuavit/detail.action?docID=6451166</t>
  </si>
  <si>
    <t>Defending Checks and Balances in EU Member States : Taking Stock of Europe's Actions</t>
  </si>
  <si>
    <t>von Bogdandy, Armin;Bogdanowicz, Piotr;Canor, Iris;Grabenwarter, Christoph;Taborowski, Maciej;Schmidt, Matthias</t>
  </si>
  <si>
    <t>KJE5132-5240</t>
  </si>
  <si>
    <t>https://ebookcentral.proquest.com/lib/iuavit/detail.action?docID=6451167</t>
  </si>
  <si>
    <t>GDPR and Biobanking : Individual Rights, Public Interest and Research Regulation Across Europe</t>
  </si>
  <si>
    <t>Slokenberga, Santa;Tzortzatou, Olga;Reichel, Jane</t>
  </si>
  <si>
    <t>https://ebookcentral.proquest.com/lib/iuavit/detail.action?docID=6451168</t>
  </si>
  <si>
    <t>The Japanese Banking Crisis</t>
  </si>
  <si>
    <t>Himino, Ryozo</t>
  </si>
  <si>
    <t>https://ebookcentral.proquest.com/lib/iuavit/detail.action?docID=6451944</t>
  </si>
  <si>
    <t>Parenting and Work in Poland : A Gender Studies Perspective</t>
  </si>
  <si>
    <t>Suwada, Katarzyna</t>
  </si>
  <si>
    <t>https://ebookcentral.proquest.com/lib/iuavit/detail.action?docID=6452454</t>
  </si>
  <si>
    <t>Enhancing Smallholder Farmers' Access to Seed of Improved Legume Varieties Through Multi-Stakeholder Platforms : Learning from the TLIII Project Experiences in Sub-Saharan Africa and South Asia</t>
  </si>
  <si>
    <t>Akpo, Essegbemon;Ojiewo, Chris O.;Kapran, Issoufou;Omoigui, Lucky O.;Diama, Agathe;Varshney, Rajeev K.</t>
  </si>
  <si>
    <t>https://ebookcentral.proquest.com/lib/iuavit/detail.action?docID=6454116</t>
  </si>
  <si>
    <t>The Science of Citizen Science</t>
  </si>
  <si>
    <t>Vohland, Katrin;Land-zandstra, Anne;Ceccaroni, Luigi;Lemmens, Rob;Perelló, Josep;Ponti, Marisa;Samson, Roeland;Wagenknecht, Katherin</t>
  </si>
  <si>
    <t>https://ebookcentral.proquest.com/lib/iuavit/detail.action?docID=6454117</t>
  </si>
  <si>
    <t>Organic Creativity and the Physics Within</t>
  </si>
  <si>
    <t>Lowcre, Mea M. M.;Hoorn, Johan F.</t>
  </si>
  <si>
    <t>BF408</t>
  </si>
  <si>
    <t>https://ebookcentral.proquest.com/lib/iuavit/detail.action?docID=6454799</t>
  </si>
  <si>
    <t>The Image of Africa in Ghana's Press : The Influence of Global News Organisations</t>
  </si>
  <si>
    <t>Serwornoo, Michael</t>
  </si>
  <si>
    <t>Journalism; History; Social Science</t>
  </si>
  <si>
    <t>https://ebookcentral.proquest.com/lib/iuavit/detail.action?docID=6454806</t>
  </si>
  <si>
    <t>Photography in the Third Reich : Art, Physiognomy and Propaganda</t>
  </si>
  <si>
    <t>Webster, Christopher</t>
  </si>
  <si>
    <t>https://ebookcentral.proquest.com/lib/iuavit/detail.action?docID=6454807</t>
  </si>
  <si>
    <t>Information and Communication Technologies in Tourism 2021 : Proceedings of the ENTER 2021 ETourism Conference, January 19-22 2021</t>
  </si>
  <si>
    <t>Wörndl, Wolfgang;Koo, Chulmo;Stienmetz, Jason L.</t>
  </si>
  <si>
    <t>Tourism/Hospitality</t>
  </si>
  <si>
    <t>G154.9-155.8</t>
  </si>
  <si>
    <t>https://ebookcentral.proquest.com/lib/iuavit/detail.action?docID=6454864</t>
  </si>
  <si>
    <t>Clinical Pathways in Stroke Rehabilitation : Evidence-Based Clinical Practice Recommendations</t>
  </si>
  <si>
    <t>Platz, Thomas</t>
  </si>
  <si>
    <t>https://ebookcentral.proquest.com/lib/iuavit/detail.action?docID=6455780</t>
  </si>
  <si>
    <t>Security of Ubiquitous Computing Systems : Selected Topics</t>
  </si>
  <si>
    <t>Avoine, Gildas;Hernandez-Castro, Julio</t>
  </si>
  <si>
    <t>https://ebookcentral.proquest.com/lib/iuavit/detail.action?docID=6455781</t>
  </si>
  <si>
    <t>Knowledge for Governance</t>
  </si>
  <si>
    <t>Glückler, Johannes;Herrigel, Gary;Handke, Michael</t>
  </si>
  <si>
    <t>Social Science; Political Science; Geography/Travel</t>
  </si>
  <si>
    <t>https://ebookcentral.proquest.com/lib/iuavit/detail.action?docID=6455782</t>
  </si>
  <si>
    <t>Textbook of Patient Safety and Clinical Risk Management</t>
  </si>
  <si>
    <t>Donaldson, Liam;Ricciardi, Walter;Sheridan, Susan;Tartaglia, Riccardo</t>
  </si>
  <si>
    <t>https://ebookcentral.proquest.com/lib/iuavit/detail.action?docID=6455966</t>
  </si>
  <si>
    <t>Cyber Security : 17th China Annual Conference, CNCERT 2020, Beijing, China, August 12, 2020, Revised Selected Papers</t>
  </si>
  <si>
    <t>Lu, Wei;Wen, Qiaoyan;Zhang, Yuqing;Lang, Bo;Wen, Weiping;Yan, Hanbing;Li, Chao;Ding, Li;Li, Ruiguang;Zhou, Yu</t>
  </si>
  <si>
    <t>https://ebookcentral.proquest.com/lib/iuavit/detail.action?docID=6458353</t>
  </si>
  <si>
    <t>Building Better Interfaces for Remote Autonomous Systems : An Introduction for Systems Engineers</t>
  </si>
  <si>
    <t>Oury, Jacob D.;Ritter, Frank E.</t>
  </si>
  <si>
    <t>https://ebookcentral.proquest.com/lib/iuavit/detail.action?docID=6458965</t>
  </si>
  <si>
    <t>Climate Risk in Africa : Adaptation and Resilience</t>
  </si>
  <si>
    <t>Conway, Declan;Vincent, Katharine</t>
  </si>
  <si>
    <t>Science; Environmental Studies; Science: Geology</t>
  </si>
  <si>
    <t>https://ebookcentral.proquest.com/lib/iuavit/detail.action?docID=6458966</t>
  </si>
  <si>
    <t>Swiss Democracy : Possible Solutions to Conflict in Multicultural Societies</t>
  </si>
  <si>
    <t>Linder, Wolf;Mueller, Sean</t>
  </si>
  <si>
    <t>320.9/494</t>
  </si>
  <si>
    <t>https://ebookcentral.proquest.com/lib/iuavit/detail.action?docID=6460302</t>
  </si>
  <si>
    <t>Zusammenwirken Von Natürlicher und Künstlicher Intelligenz</t>
  </si>
  <si>
    <t>Haux, Reinhold;Gahl, Klaus;Jipp, Meike;Kruse, Rudolf;Richter, Otto</t>
  </si>
  <si>
    <t>https://ebookcentral.proquest.com/lib/iuavit/detail.action?docID=6460904</t>
  </si>
  <si>
    <t>Equity, Equality and Diversity in the Nordic Model of Education</t>
  </si>
  <si>
    <t>ønes, Tove Stjern;Pettersen, Andreas;Radisić, Jelena;Buchholtz, Nils</t>
  </si>
  <si>
    <t>https://ebookcentral.proquest.com/lib/iuavit/detail.action?docID=6460905</t>
  </si>
  <si>
    <t>Doktor Faustus (ver-)stimmen : Kompositionen Zu Thomas Manns Roman</t>
  </si>
  <si>
    <t>Olivari, Anna Maria</t>
  </si>
  <si>
    <t>ML197.2</t>
  </si>
  <si>
    <t>https://ebookcentral.proquest.com/lib/iuavit/detail.action?docID=6461734</t>
  </si>
  <si>
    <t>Professoren Mit Migrationshintergrund : Benachteiligte Minderheit Oder Protagonisten Internationaler Exzellenz</t>
  </si>
  <si>
    <t>Engel, Ole</t>
  </si>
  <si>
    <t>https://ebookcentral.proquest.com/lib/iuavit/detail.action?docID=6462031</t>
  </si>
  <si>
    <t>Expatriates und Freiwilliges Engagement in der Schweiz : Eine Qualitative Analyse Im Kanton Zug</t>
  </si>
  <si>
    <t>Störkle, Mario</t>
  </si>
  <si>
    <t>https://ebookcentral.proquest.com/lib/iuavit/detail.action?docID=6462068</t>
  </si>
  <si>
    <t>The Marvels Found in the Great Cities and in the Seas and on the Islands : A Representative of 'aǧā'ib Literature in Syriac</t>
  </si>
  <si>
    <t>Minov, Sergey</t>
  </si>
  <si>
    <t>https://ebookcentral.proquest.com/lib/iuavit/detail.action?docID=6462818</t>
  </si>
  <si>
    <t>'the Philosophes' by Charles Palissot</t>
  </si>
  <si>
    <t>Goodman, Jessica;Ferret, Olivier</t>
  </si>
  <si>
    <t>https://ebookcentral.proquest.com/lib/iuavit/detail.action?docID=6462819</t>
  </si>
  <si>
    <t>Studies in the Grammar and Lexicon of Neo-Aramaic</t>
  </si>
  <si>
    <t>Khan, Geoffrey;Noorlander, Paul M.</t>
  </si>
  <si>
    <t>https://ebookcentral.proquest.com/lib/iuavit/detail.action?docID=6462820</t>
  </si>
  <si>
    <t>Acoustemologies in Contact : Sounding Subjects and Modes of Listening in Early Modernity</t>
  </si>
  <si>
    <t>Wilbourne, Emily;Cusick, Suzanne G.</t>
  </si>
  <si>
    <t>https://ebookcentral.proquest.com/lib/iuavit/detail.action?docID=6462821</t>
  </si>
  <si>
    <t>Embedded System Design : Embedded Systems Foundations of Cyber-Physical Systems, and the Internet of Things</t>
  </si>
  <si>
    <t>Marwedel, Peter</t>
  </si>
  <si>
    <t>https://ebookcentral.proquest.com/lib/iuavit/detail.action?docID=6463481</t>
  </si>
  <si>
    <t>New Living Cases on Corporate Governance</t>
  </si>
  <si>
    <t>Hilb, Martin</t>
  </si>
  <si>
    <t>HD2741-2749</t>
  </si>
  <si>
    <t>https://ebookcentral.proquest.com/lib/iuavit/detail.action?docID=6463794</t>
  </si>
  <si>
    <t>Proceedings of the 2020 DigitalFUTURES : The 2nd International Conference on Computational Design and Robotic Fabrication (CDRF 2020)</t>
  </si>
  <si>
    <t>Yuan, Philip F.;Yao, Jiawei;Yan, Chao;Wang, Xiang;Leach, Neil</t>
  </si>
  <si>
    <t>TJ212-225</t>
  </si>
  <si>
    <t>https://ebookcentral.proquest.com/lib/iuavit/detail.action?docID=6465590</t>
  </si>
  <si>
    <t>The Leading World's Most Innovative Universities</t>
  </si>
  <si>
    <t>AI-Youbi, Abdulrahman Obaid;Zahed, Adnan Hamza Mohammad;Nahas, Mahmoud Nadim;Hegazy, Ahmad Abousree</t>
  </si>
  <si>
    <t>https://ebookcentral.proquest.com/lib/iuavit/detail.action?docID=6465591</t>
  </si>
  <si>
    <t>Public Administration in Germany</t>
  </si>
  <si>
    <t>Kuhlmann, Sabine;Proeller, Isabella;Schimanke, Dieter;Ziekow, Jan</t>
  </si>
  <si>
    <t>https://ebookcentral.proquest.com/lib/iuavit/detail.action?docID=6465855</t>
  </si>
  <si>
    <t>The Seine River Basin</t>
  </si>
  <si>
    <t>Flipo, Nicolas;Labadie, Pierre;Lestel, Laurence</t>
  </si>
  <si>
    <t>TD193-193.5</t>
  </si>
  <si>
    <t>https://ebookcentral.proquest.com/lib/iuavit/detail.action?docID=6465856</t>
  </si>
  <si>
    <t>Measuring Emission of Agricultural Greenhouse Gases and Developing Mitigation Options Using Nuclear and Related Techniques : Applications of Nuclear Techniques for GHGs</t>
  </si>
  <si>
    <t>Zaman, Mohammad;Heng, Lee;Müller, Christoph</t>
  </si>
  <si>
    <t>https://ebookcentral.proquest.com/lib/iuavit/detail.action?docID=6465857</t>
  </si>
  <si>
    <t>Decision Science for Future Earth : Theory and Practice</t>
  </si>
  <si>
    <t>Yahara, Tetsukazu</t>
  </si>
  <si>
    <t>https://ebookcentral.proquest.com/lib/iuavit/detail.action?docID=6465859</t>
  </si>
  <si>
    <t>Frontiers of Real Estate Science in Japan</t>
  </si>
  <si>
    <t>Asami, Yasushi;Higano, Yoshiro;Fukui, Hideo</t>
  </si>
  <si>
    <t>K487.E3</t>
  </si>
  <si>
    <t>https://ebookcentral.proquest.com/lib/iuavit/detail.action?docID=6466935</t>
  </si>
  <si>
    <t>Invasive Species in Forests and Rangelands of the United States : A Comprehensive Science Synthesis for the United States Forest Sector</t>
  </si>
  <si>
    <t>Poland, Therese M.;Patel-Weynand, Toral;Finch, Deborah M.;Miniat, Chelcy Ford;Hayes, Deborah C.;Lopez, Vanessa M.</t>
  </si>
  <si>
    <t>https://ebookcentral.proquest.com/lib/iuavit/detail.action?docID=6466936</t>
  </si>
  <si>
    <t>Opposing Democracy in the Digital Age : The Yellow Shirts in Thailand</t>
  </si>
  <si>
    <t>University of Michigan Press</t>
  </si>
  <si>
    <t>Sinpeng, Aim</t>
  </si>
  <si>
    <t>JQ1749</t>
  </si>
  <si>
    <t>322.4/209593</t>
  </si>
  <si>
    <t>Democracy-Thailand-History-21st century.</t>
  </si>
  <si>
    <t>https://ebookcentral.proquest.com/lib/iuavit/detail.action?docID=6473948</t>
  </si>
  <si>
    <t>Physical Disability and Sexuality : Stories from South Africa</t>
  </si>
  <si>
    <t>Hunt, Xanthe;Braathen, Stine Hellum;Chiwaula, Mussa;Carew, Mark T.;Rohleder, Poul;Swartz, Leslie</t>
  </si>
  <si>
    <t>https://ebookcentral.proquest.com/lib/iuavit/detail.action?docID=6473956</t>
  </si>
  <si>
    <t>Die Wirtschaft Im Wandel : Innovation, Soziale Sicherheit, und Wohlfahrt</t>
  </si>
  <si>
    <t>Keuschnigg, Christian;Kogler, Michael</t>
  </si>
  <si>
    <t>HJ9-9940</t>
  </si>
  <si>
    <t>https://ebookcentral.proquest.com/lib/iuavit/detail.action?docID=6473957</t>
  </si>
  <si>
    <t>Smart and Sustainable Planning for Cities and Regions : Results of SSPCR 2019--Open Access Contributions</t>
  </si>
  <si>
    <t>Bisello, Adriano;Vettorato, Daniele;Ludlow, David;Baranzelli, Claudia</t>
  </si>
  <si>
    <t>G1100#8209;3102</t>
  </si>
  <si>
    <t>https://ebookcentral.proquest.com/lib/iuavit/detail.action?docID=6475818</t>
  </si>
  <si>
    <t>Jane Austen : Reflections of a Reader</t>
  </si>
  <si>
    <t>Bartlett, Nora;Stabler, Jane</t>
  </si>
  <si>
    <t>Fiction; Literature</t>
  </si>
  <si>
    <t>https://ebookcentral.proquest.com/lib/iuavit/detail.action?docID=6475844</t>
  </si>
  <si>
    <t>Social and Economic Vulnerability of Roma People : Key Factors for the Success and Continuity of Schooling Levels</t>
  </si>
  <si>
    <t>Mendes, Maria Manuela;Magano, Olga;Toma, Stefánia</t>
  </si>
  <si>
    <t>https://ebookcentral.proquest.com/lib/iuavit/detail.action?docID=6476011</t>
  </si>
  <si>
    <t>The Future of Service Post-COVID-19 Pandemic, Volume 1 : Rapid Adoption of Digital Service Technology</t>
  </si>
  <si>
    <t>Lee, Jungwoo;Han, Spring H.</t>
  </si>
  <si>
    <t>https://ebookcentral.proquest.com/lib/iuavit/detail.action?docID=6476019</t>
  </si>
  <si>
    <t>Mnemonic Solidarity : Global Interventions</t>
  </si>
  <si>
    <t>Lim, Jie-Hyun;Rosenhaft, Eve</t>
  </si>
  <si>
    <t>D16.9</t>
  </si>
  <si>
    <t>https://ebookcentral.proquest.com/lib/iuavit/detail.action?docID=6476601</t>
  </si>
  <si>
    <t>Öffentliche Mobilität : Voraussetzungen Für eine Menschengerechte Verkehrsplanung</t>
  </si>
  <si>
    <t>Schwedes, Oliver</t>
  </si>
  <si>
    <t>https://ebookcentral.proquest.com/lib/iuavit/detail.action?docID=6476602</t>
  </si>
  <si>
    <t>Anisotropy Across Fields and Scales</t>
  </si>
  <si>
    <t>Özarslan, Evren;Schultz, Thomas;Zhang, Eugene;Fuster, Andrea</t>
  </si>
  <si>
    <t>QA76.9.I52</t>
  </si>
  <si>
    <t>https://ebookcentral.proquest.com/lib/iuavit/detail.action?docID=6478284</t>
  </si>
  <si>
    <t>Robotics, AI, and Humanity : Science, Ethics, and Policy</t>
  </si>
  <si>
    <t>von Braun, Joachim;S. Archer, Margaret;Reichberg, Gregory M.;Sánchez Sorondo, Marcelo</t>
  </si>
  <si>
    <t>BF201</t>
  </si>
  <si>
    <t>https://ebookcentral.proquest.com/lib/iuavit/detail.action?docID=6478465</t>
  </si>
  <si>
    <t>Lifestyle in Siberia and the Russian North</t>
  </si>
  <si>
    <t>Habeck, Joachim Otto</t>
  </si>
  <si>
    <t>https://ebookcentral.proquest.com/lib/iuavit/detail.action?docID=6478860</t>
  </si>
  <si>
    <t>Decolonising Blue Spaces in the Anthropocene : Freshwater Management in Aotearoa New Zealand</t>
  </si>
  <si>
    <t>Parsons, Meg;Fisher, Karen;Crease, Roa Petra</t>
  </si>
  <si>
    <t>https://ebookcentral.proquest.com/lib/iuavit/detail.action?docID=6478895</t>
  </si>
  <si>
    <t>Oral and Maxillofacial Surgery for the Clinician</t>
  </si>
  <si>
    <t>Bonanthaya, Krishnamurthy;Panneerselvam, Elavenil;Manuel, Suvy;Kumar, Vinay V.;Rai, Anshul</t>
  </si>
  <si>
    <t>RK529-535</t>
  </si>
  <si>
    <t>https://ebookcentral.proquest.com/lib/iuavit/detail.action?docID=6478926</t>
  </si>
  <si>
    <t>A Buddhist Approach to International Relations : Radical Interdependence</t>
  </si>
  <si>
    <t>Long, William J.</t>
  </si>
  <si>
    <t>https://ebookcentral.proquest.com/lib/iuavit/detail.action?docID=6480189</t>
  </si>
  <si>
    <t>Quality Management and Accreditation in Hematopoietic Stem Cell Transplantation and Cellular Therapy : The JACIE Guide</t>
  </si>
  <si>
    <t>Aljurf, Mahmoud;Snowden, John A.;Hayden, Patrick;Orchard, Kim H.;McGrath, Eoin</t>
  </si>
  <si>
    <t>RC633-647</t>
  </si>
  <si>
    <t>https://ebookcentral.proquest.com/lib/iuavit/detail.action?docID=6483075</t>
  </si>
  <si>
    <t>Das ökonomische Laboratop : Eine Soziologische Ethnographie des Wirtschaftswissenschaftlichen Experimentierens</t>
  </si>
  <si>
    <t>Haus, Juliane</t>
  </si>
  <si>
    <t>https://ebookcentral.proquest.com/lib/iuavit/detail.action?docID=6484616</t>
  </si>
  <si>
    <t>Like Nobody's Business : An Insider's Guide to How US University Finances Really Work</t>
  </si>
  <si>
    <t>Comrie, Andrew C.</t>
  </si>
  <si>
    <t>Economics; Education</t>
  </si>
  <si>
    <t>https://ebookcentral.proquest.com/lib/iuavit/detail.action?docID=6489591</t>
  </si>
  <si>
    <t>The Future European Energy System : Renewable Energy, Flexibility Options and Technological Progress</t>
  </si>
  <si>
    <t>Möst, Dominik;Schreiber, Steffi;Herbst, Andrea;Jakob, Martin;Martino, Angelo;Poganietz, Witold-Roger</t>
  </si>
  <si>
    <t>https://ebookcentral.proquest.com/lib/iuavit/detail.action?docID=6491804</t>
  </si>
  <si>
    <t>Reading Prehistoric Human Tracks : Methods and Material</t>
  </si>
  <si>
    <t>Pastoors, Andreas;Lenssen-Erz, Tilman</t>
  </si>
  <si>
    <t>https://ebookcentral.proquest.com/lib/iuavit/detail.action?docID=6501383</t>
  </si>
  <si>
    <t>What Is Authorial Philology?</t>
  </si>
  <si>
    <t>Italia, Paola;Raboni, Giulia</t>
  </si>
  <si>
    <t>https://ebookcentral.proquest.com/lib/iuavit/detail.action?docID=6508324</t>
  </si>
  <si>
    <t>Social Work, Sociometry, and Psychodrama : Experiential Approaches for Group Therapists, Community Leaders, and Social Workers</t>
  </si>
  <si>
    <t>Giacomucci, Scott</t>
  </si>
  <si>
    <t>BF636.5-.7</t>
  </si>
  <si>
    <t>https://ebookcentral.proquest.com/lib/iuavit/detail.action?docID=6508426</t>
  </si>
  <si>
    <t>Arbeit in der Digitalisierten Welt : Praxisbeispiele und Gestaltungslösungen Aus Dem BMBF-Förderschwerpunkt</t>
  </si>
  <si>
    <t>Bauer, Wilhelm;Mütze-Niewöhner, Susanne;Stowasser, Sascha;Zanker, Claus;Müller, Nadine</t>
  </si>
  <si>
    <t>https://ebookcentral.proquest.com/lib/iuavit/detail.action?docID=6509881</t>
  </si>
  <si>
    <t>Special Topics in Information Technology</t>
  </si>
  <si>
    <t>Geraci, Angelo</t>
  </si>
  <si>
    <t>https://ebookcentral.proquest.com/lib/iuavit/detail.action?docID=6509883</t>
  </si>
  <si>
    <t>Pattern Recognition, Tracking and Vertex Reconstruction in Particle Detectors</t>
  </si>
  <si>
    <t>ühwirth, Rudolf;Strandlie, Are</t>
  </si>
  <si>
    <t>https://ebookcentral.proquest.com/lib/iuavit/detail.action?docID=6509884</t>
  </si>
  <si>
    <t>Northern Lights on Civic and Citizenship Education : A Cross-National Comparison of Nordic Data from ICCS</t>
  </si>
  <si>
    <t>Biseth, Heidi;Hoskins, Bryony;Huang, Lihong</t>
  </si>
  <si>
    <t>https://ebookcentral.proquest.com/lib/iuavit/detail.action?docID=6509886</t>
  </si>
  <si>
    <t>The Data Shake : Opportunities and Obstacles for Urban Policy Making</t>
  </si>
  <si>
    <t>Concilio, Grazia;Pucci, Paola;Raes, Lieven;Mareels, Geert</t>
  </si>
  <si>
    <t>https://ebookcentral.proquest.com/lib/iuavit/detail.action?docID=6511378</t>
  </si>
  <si>
    <t>Public Actors in International Investment Law</t>
  </si>
  <si>
    <t>Titi, Catharine</t>
  </si>
  <si>
    <t>K3820-3836</t>
  </si>
  <si>
    <t>https://ebookcentral.proquest.com/lib/iuavit/detail.action?docID=6511411</t>
  </si>
  <si>
    <t>Von Alternativen Paradigmen Zur Umfassenden Transformation : Analyse Transformativer Forschungsprojekte Anhand des Diskursiven Institutionalismus</t>
  </si>
  <si>
    <t>Schleicher, Katharina</t>
  </si>
  <si>
    <t>https://ebookcentral.proquest.com/lib/iuavit/detail.action?docID=6511461</t>
  </si>
  <si>
    <t>Solar Energetic Particles : A Modern Primer on Understanding Sources, Acceleration and Propagation</t>
  </si>
  <si>
    <t>Reames, Donald V.</t>
  </si>
  <si>
    <t>QB520-545</t>
  </si>
  <si>
    <t>https://ebookcentral.proquest.com/lib/iuavit/detail.action?docID=6511466</t>
  </si>
  <si>
    <t>Recovering Civility During COVID-19</t>
  </si>
  <si>
    <t>Bonotti, Matteo;Zech, Steven T.</t>
  </si>
  <si>
    <t>https://ebookcentral.proquest.com/lib/iuavit/detail.action?docID=6511500</t>
  </si>
  <si>
    <t>Digital Business : Analysen und Handlungsfelder in der Praxis</t>
  </si>
  <si>
    <t>https://ebookcentral.proquest.com/lib/iuavit/detail.action?docID=6511547</t>
  </si>
  <si>
    <t>Das Internet der Dinge Für Bildung Nutzbar Machen : Gestaltung Von Smart Learning Environments Auf Basis Eines Interdisziplinären Diskurses</t>
  </si>
  <si>
    <t>Freigang, Sirkka</t>
  </si>
  <si>
    <t>https://ebookcentral.proquest.com/lib/iuavit/detail.action?docID=6511553</t>
  </si>
  <si>
    <t>Revitalizing Indian Agriculture and Boosting Farmer Incomes</t>
  </si>
  <si>
    <t>Gulati, Ashok;Roy, Ranjana;Saini, Shweta</t>
  </si>
  <si>
    <t>https://ebookcentral.proquest.com/lib/iuavit/detail.action?docID=6511582</t>
  </si>
  <si>
    <t>Insurance Distribution Directive : A Legal Analysis</t>
  </si>
  <si>
    <t>Marano, Pierpaolo;Noussia, Kyriaki</t>
  </si>
  <si>
    <t>https://ebookcentral.proquest.com/lib/iuavit/detail.action?docID=6513467</t>
  </si>
  <si>
    <t>Wechselwirkungen Zwischen Landnutzung und Klimawandel</t>
  </si>
  <si>
    <t>Gömann, Horst;Fick, Johanna</t>
  </si>
  <si>
    <t>Environmental Studies; Political Science; Architecture</t>
  </si>
  <si>
    <t>https://ebookcentral.proquest.com/lib/iuavit/detail.action?docID=6515569</t>
  </si>
  <si>
    <t>Innovative Learning Environments in STEM Higher Education : Opportunities, Challenges, and Looking Forward</t>
  </si>
  <si>
    <t>Ryoo, Jungwoo;Winkelmann, Kurt</t>
  </si>
  <si>
    <t>HA1-4737</t>
  </si>
  <si>
    <t>https://ebookcentral.proquest.com/lib/iuavit/detail.action?docID=6515574</t>
  </si>
  <si>
    <t>70 Years of Levothyroxine</t>
  </si>
  <si>
    <t>Kahaly, George J.</t>
  </si>
  <si>
    <t>RC648-665.2</t>
  </si>
  <si>
    <t>https://ebookcentral.proquest.com/lib/iuavit/detail.action?docID=6515583</t>
  </si>
  <si>
    <t>Health Promotion in Health Care - Vital Theories and Research</t>
  </si>
  <si>
    <t>Haugan, Gørill;Eriksson, Monica</t>
  </si>
  <si>
    <t>RT71-81</t>
  </si>
  <si>
    <t>https://ebookcentral.proquest.com/lib/iuavit/detail.action?docID=6515814</t>
  </si>
  <si>
    <t>Indikatoren Für Die Messung Von Forschung, Entwicklung und Innovation : Steckbriefe Mit Hinweisen Zur Anwendung</t>
  </si>
  <si>
    <t>Kladroba, Andreas;Buchmann, Tobias;Friz, Katharina;Lange, Marcel;Wolf, Patrick</t>
  </si>
  <si>
    <t>https://ebookcentral.proquest.com/lib/iuavit/detail.action?docID=6516155</t>
  </si>
  <si>
    <t>Graph Structures for Knowledge Representation and Reasoning : 6th International Workshop, GKR 2020, Virtual Event, September 5, 2020, Revised Selected Papers</t>
  </si>
  <si>
    <t>Cochez, Michael;Croitoru, Madalina;Marquis, Pierre;Rudolph, Sebastian</t>
  </si>
  <si>
    <t>https://ebookcentral.proquest.com/lib/iuavit/detail.action?docID=6520824</t>
  </si>
  <si>
    <t>Euthanasia: Searching for the Full Story : Experiences and Insights of Belgian Doctors and Nurses</t>
  </si>
  <si>
    <t>Devos, Timothy</t>
  </si>
  <si>
    <t>RC271.P33</t>
  </si>
  <si>
    <t>https://ebookcentral.proquest.com/lib/iuavit/detail.action?docID=6522084</t>
  </si>
  <si>
    <t>Artificial Intelligence for a Better Future : An Ecosystem Perspective on the Ethics of AI and Emerging Digital Technologies</t>
  </si>
  <si>
    <t>Stahl, Bernd Carsten</t>
  </si>
  <si>
    <t>https://ebookcentral.proquest.com/lib/iuavit/detail.action?docID=6522091</t>
  </si>
  <si>
    <t>Romanticism and Time : Literary Temporalities</t>
  </si>
  <si>
    <t>Laniel-Musitelli, Sophie;Sabiron, Céline</t>
  </si>
  <si>
    <t>https://ebookcentral.proquest.com/lib/iuavit/detail.action?docID=6522108</t>
  </si>
  <si>
    <t>Arab Media Systems</t>
  </si>
  <si>
    <t>Richter, Carola;Kozman, Claudia</t>
  </si>
  <si>
    <t>Social Science; History; Journalism</t>
  </si>
  <si>
    <t>https://ebookcentral.proquest.com/lib/iuavit/detail.action?docID=6522109</t>
  </si>
  <si>
    <t>Tools and Algorithms for the Construction and Analysis of Systems : 27th International Conference, TACAS 2021, Held As Part of the European Joint Conferences on Theory and Practice of Software, ETAPS 2021, Luxembourg City, Luxembourg, March 27 - April 1, 2021, Proceedings, Part I</t>
  </si>
  <si>
    <t>Groote, Jan Friso;Larsen, Kim Guldstrand</t>
  </si>
  <si>
    <t>https://ebookcentral.proquest.com/lib/iuavit/detail.action?docID=6523259</t>
  </si>
  <si>
    <t>The Politics of Diversity in Music Education</t>
  </si>
  <si>
    <t>Kallio, Alexis Anja;Westerlund, Heidi;Karlsen, Sidsel;Marsh, Kathryn;Sæther, Eva</t>
  </si>
  <si>
    <t>NX280-410</t>
  </si>
  <si>
    <t>https://ebookcentral.proquest.com/lib/iuavit/detail.action?docID=6523263</t>
  </si>
  <si>
    <t>Trauma and Resilience among Displaced Populations : A Sociocultural Exploration</t>
  </si>
  <si>
    <t>Theisen-Womersley, Gail</t>
  </si>
  <si>
    <t>https://ebookcentral.proquest.com/lib/iuavit/detail.action?docID=6523267</t>
  </si>
  <si>
    <t>Fundamental Approaches to Software Engineering : 24th International Conference, FASE 2021, Held As Part of the European Joint Conferences on Theory and Practice of Software, ETAPS 2021, Luxembourg City, Luxembourg, March 27 - April 1, 2021, Proceedings</t>
  </si>
  <si>
    <t>Guerra, Esther;Stoelinga, Mariëlle</t>
  </si>
  <si>
    <t>https://ebookcentral.proquest.com/lib/iuavit/detail.action?docID=6523277</t>
  </si>
  <si>
    <t>Cultural Governance : Legitimation und Steuerung in Den Darstellenden Künsten</t>
  </si>
  <si>
    <t>Mandel, Birgit;Zimmer, Annette</t>
  </si>
  <si>
    <t>https://ebookcentral.proquest.com/lib/iuavit/detail.action?docID=6523281</t>
  </si>
  <si>
    <t>Accelerating Digitalization : Chancen der Digitalisierung Erkennen und Nutzen</t>
  </si>
  <si>
    <t>Proff, Harald;Ahrens, Claudia;Neuroth, Wencke;Proff, Heike;Knobbe, Florian;Szybisty, Gregor;Sommer, Stefan</t>
  </si>
  <si>
    <t>https://ebookcentral.proquest.com/lib/iuavit/detail.action?docID=6523289</t>
  </si>
  <si>
    <t>Textbook on Scar Management : State of the Art Management and Emerging Technologies</t>
  </si>
  <si>
    <t>Téot, Luc;Mustoe, Thomas A.;Middelkoop, Esther;Gauglitz, Gerd G.</t>
  </si>
  <si>
    <t>RD118-120.5</t>
  </si>
  <si>
    <t>https://ebookcentral.proquest.com/lib/iuavit/detail.action?docID=6523352</t>
  </si>
  <si>
    <t>The Life and Afterlife of Gay Neighborhoods : Renaissance and Resurgence</t>
  </si>
  <si>
    <t>Bitterman, Alex;Hess, Daniel Baldwin</t>
  </si>
  <si>
    <t>Business/Management; Social Science; Political Science</t>
  </si>
  <si>
    <t>https://ebookcentral.proquest.com/lib/iuavit/detail.action?docID=6523361</t>
  </si>
  <si>
    <t>E-Science : Open, Social and Virtual Technology for Research Collaboration</t>
  </si>
  <si>
    <t>Koschtial, Claudia;Köhler, Thomas;Felden, Carsten</t>
  </si>
  <si>
    <t>Q223-227</t>
  </si>
  <si>
    <t>https://ebookcentral.proquest.com/lib/iuavit/detail.action?docID=6523364</t>
  </si>
  <si>
    <t>The New Common : How the COVID-19 Pandemic Is Transforming Society</t>
  </si>
  <si>
    <t>Aarts, Emile;Fleuren, Hein;Sitskoorn, Margriet;Wilthagen, Ton</t>
  </si>
  <si>
    <t>RA410-410.9</t>
  </si>
  <si>
    <t>https://ebookcentral.proquest.com/lib/iuavit/detail.action?docID=6523365</t>
  </si>
  <si>
    <t>Accelerator-Driven System at Kyoto University Critical Assembly</t>
  </si>
  <si>
    <t>Pyeon, Cheol Ho</t>
  </si>
  <si>
    <t>https://ebookcentral.proquest.com/lib/iuavit/detail.action?docID=6523369</t>
  </si>
  <si>
    <t>The Impact of Individual Expertise and Public Information on Group Decision-Making</t>
  </si>
  <si>
    <t>Strunz, Ulrich G.</t>
  </si>
  <si>
    <t>https://ebookcentral.proquest.com/lib/iuavit/detail.action?docID=6523370</t>
  </si>
  <si>
    <t>Global History with Chinese Characteristics : Autocratic States along the Silk Road in the Decline of the Spanish and Qing Empires 1680-1796</t>
  </si>
  <si>
    <t>Perez-Garcia, Manuel</t>
  </si>
  <si>
    <t>DS701-799.9</t>
  </si>
  <si>
    <t>https://ebookcentral.proquest.com/lib/iuavit/detail.action?docID=6523381</t>
  </si>
  <si>
    <t>Magnetism and Accelerator-Based Light Sources : Proceedings of the 7th International School ''Synchrotron Radiation and Magnetism'', Mittelwihr (France) 2018</t>
  </si>
  <si>
    <t>Bulou, Hervé;Joly, Loïc;Mariot, Jean-Michel;Scheurer, Fabrice</t>
  </si>
  <si>
    <t>QC482.S6</t>
  </si>
  <si>
    <t>https://ebookcentral.proquest.com/lib/iuavit/detail.action?docID=6523389</t>
  </si>
  <si>
    <t>Berufliche Orientierung Zwischen Heterogenität und Individualisierung : Beschreibung, Messung und Konsequenzen Zur Individuellen Förderung in Schule</t>
  </si>
  <si>
    <t>Ohlemann, Svenja</t>
  </si>
  <si>
    <t>https://ebookcentral.proquest.com/lib/iuavit/detail.action?docID=6523395</t>
  </si>
  <si>
    <t>Die Grenzen der EU : Europäische Integration, ,,Schengen und Die Kontrolle der Migration</t>
  </si>
  <si>
    <t>Oltmer, Jochen</t>
  </si>
  <si>
    <t>JV6225-6231</t>
  </si>
  <si>
    <t>https://ebookcentral.proquest.com/lib/iuavit/detail.action?docID=6523396</t>
  </si>
  <si>
    <t>Data Technology in Materials Modelling</t>
  </si>
  <si>
    <t>Horsch, Martin Thomas;Chiacchiera, Silvia;Cavalcanti, Welchy Leite;Schembera, Bjö</t>
  </si>
  <si>
    <t>TA401-492</t>
  </si>
  <si>
    <t>https://ebookcentral.proquest.com/lib/iuavit/detail.action?docID=6523399</t>
  </si>
  <si>
    <t>Foundations of Software Science and Computation Structures : 24th International Conference, FOSSACS 2021, Held As Part of the European Joint Conferences on Theory and Practice of Software, ETAPS 2021, Luxembourg City, Luxembourg, March 27 - April 1, 2021, Proceedings</t>
  </si>
  <si>
    <t>Kiefer, Stefan;Tasson, Christine</t>
  </si>
  <si>
    <t>QA267-268.5</t>
  </si>
  <si>
    <t>https://ebookcentral.proquest.com/lib/iuavit/detail.action?docID=6524970</t>
  </si>
  <si>
    <t>Tools and Algorithms for the Construction and Analysis of Systems : 27th International Conference, TACAS 2021, Held As Part of the European Joint Conferences on Theory and Practice of Software, ETAPS 2021, Luxembourg City, Luxembourg, March 27 - April 1, 2021, Proceedings, Part II</t>
  </si>
  <si>
    <t>https://ebookcentral.proquest.com/lib/iuavit/detail.action?docID=6524978</t>
  </si>
  <si>
    <t>Community and Identity in Contemporary Technosciences</t>
  </si>
  <si>
    <t>Kastenhofer, Karen;Molyneux-Hodgson, Susan</t>
  </si>
  <si>
    <t>https://ebookcentral.proquest.com/lib/iuavit/detail.action?docID=6524979</t>
  </si>
  <si>
    <t>Programming Languages and Systems : 30th European Symposium on Programming, ESOP 2021, Held As Part of the European Joint Conferences on Theory and Practice of Software, ETAPS 2021, Luxembourg City, Luxembourg, March 27 - April 1, 2021, Proceedings</t>
  </si>
  <si>
    <t>Yoshida, Nobuko</t>
  </si>
  <si>
    <t>https://ebookcentral.proquest.com/lib/iuavit/detail.action?docID=6524996</t>
  </si>
  <si>
    <t>Open Skies : The National Radio Astronomy Observatory and Its Impact on US Radio Astronomy</t>
  </si>
  <si>
    <t>Kellermann, Kenneth I.;Bouton, Ellen N.;Brandt, Sierra S.</t>
  </si>
  <si>
    <t>Science; Science: Astronomy</t>
  </si>
  <si>
    <t>https://ebookcentral.proquest.com/lib/iuavit/detail.action?docID=6525003</t>
  </si>
  <si>
    <t>Quantum Computing for the Quantum Curious</t>
  </si>
  <si>
    <t>Hughes, Ciaran;Isaacson, Joshua;Perry, Anastasia;Sun, Ranbel F.;Turner, Jessica</t>
  </si>
  <si>
    <t>Computer Science/IT; Science; Science: Physics</t>
  </si>
  <si>
    <t>https://ebookcentral.proquest.com/lib/iuavit/detail.action?docID=6525080</t>
  </si>
  <si>
    <t>Introduction to Epigenetics</t>
  </si>
  <si>
    <t>Paro, Renato;Grossniklaus, Ueli;Santoro, Raffaella;Wutz, Anton</t>
  </si>
  <si>
    <t>https://ebookcentral.proquest.com/lib/iuavit/detail.action?docID=6525474</t>
  </si>
  <si>
    <t>Firm Competitive Advantage Through Relationship Management : A Theory for Successful Sustainable Growth</t>
  </si>
  <si>
    <t>Deszczyński, Bartosz</t>
  </si>
  <si>
    <t>HF5415.5-5415.53</t>
  </si>
  <si>
    <t>https://ebookcentral.proquest.com/lib/iuavit/detail.action?docID=6527531</t>
  </si>
  <si>
    <t>Macht Arbeit Frei? : German Economic Policy and Forced Labor of Jews in the General Government, 1939-1943</t>
  </si>
  <si>
    <t>Medykowski, Witold</t>
  </si>
  <si>
    <t>https://ebookcentral.proquest.com/lib/iuavit/detail.action?docID=6527603</t>
  </si>
  <si>
    <t>Gendered Violence : Jewish Women in the Pogroms of 1917 To 1921</t>
  </si>
  <si>
    <t>Astashkevich, Irina</t>
  </si>
  <si>
    <t>https://ebookcentral.proquest.com/lib/iuavit/detail.action?docID=6527604</t>
  </si>
  <si>
    <t>Gone to Pitchipoi : A Boy's Desperate Fight for Survival in Wartime</t>
  </si>
  <si>
    <t>Katz, Rubin</t>
  </si>
  <si>
    <t>https://ebookcentral.proquest.com/lib/iuavit/detail.action?docID=6527605</t>
  </si>
  <si>
    <t>Krankenhaus-Report 2021 : Versorgungsketten - der Patient Im Mittelpunkt</t>
  </si>
  <si>
    <t>Klauber, Jürgen;Wasem, Jürgen;Beivers, Andreas;Mostert, Carina</t>
  </si>
  <si>
    <t>https://ebookcentral.proquest.com/lib/iuavit/detail.action?docID=6528168</t>
  </si>
  <si>
    <t>Accounting and Statistical Analyses for Sustainable Development : Multiple Perspectives and Information-Theoretic Complexity Reduction</t>
  </si>
  <si>
    <t>Lemke, Claudia</t>
  </si>
  <si>
    <t>https://ebookcentral.proquest.com/lib/iuavit/detail.action?docID=6531639</t>
  </si>
  <si>
    <t>Urban Socio-Economic Segregation and Income Inequality : A Global Perspective</t>
  </si>
  <si>
    <t>van Ham, Maarten;Tammaru, Tiit;Ubarevičienė, Rūta;Janssen, Heleen</t>
  </si>
  <si>
    <t>https://ebookcentral.proquest.com/lib/iuavit/detail.action?docID=6531653</t>
  </si>
  <si>
    <t>The Fundamental Elements of Strategy : Concepts, Theories and Cases</t>
  </si>
  <si>
    <t>Yu, Xiu-bao</t>
  </si>
  <si>
    <t>https://ebookcentral.proquest.com/lib/iuavit/detail.action?docID=6531665</t>
  </si>
  <si>
    <t>Arts and Health Promotion : Tools and Bridges for Practice, Research, and Social Transformation</t>
  </si>
  <si>
    <t>Corbin, J. Hope;Sanmartino, Mariana;Hennessy, Emily Alden;Urke, Helga Bjøøy</t>
  </si>
  <si>
    <t>https://ebookcentral.proquest.com/lib/iuavit/detail.action?docID=6531681</t>
  </si>
  <si>
    <t>Entertainment-Education Behind the Scenes : Case Studies for Theory and Practice</t>
  </si>
  <si>
    <t>Frank, Lauren B.;Falzone, Paul</t>
  </si>
  <si>
    <t>HD76-76.2</t>
  </si>
  <si>
    <t>https://ebookcentral.proquest.com/lib/iuavit/detail.action?docID=6531698</t>
  </si>
  <si>
    <t>Towards a Natural Social Contract : Transformative Social-Ecological Innovation for a Sustainable, Healthy and Just Society</t>
  </si>
  <si>
    <t>Huntjens, Patrick</t>
  </si>
  <si>
    <t>HM671</t>
  </si>
  <si>
    <t>https://ebookcentral.proquest.com/lib/iuavit/detail.action?docID=6531708</t>
  </si>
  <si>
    <t>Social Exclusion in Later Life : Interdisciplinary and Policy Perspectives</t>
  </si>
  <si>
    <t>Walsh, Kieran;Scharf, Thomas;Van Regenmortel, Sofie;Wanka, Anna</t>
  </si>
  <si>
    <t>https://ebookcentral.proquest.com/lib/iuavit/detail.action?docID=6531730</t>
  </si>
  <si>
    <t>Taxation, International Cooperation and the 2030 Sustainable Development Agenda</t>
  </si>
  <si>
    <t>Mosquera Valderrama, Irma Johanna;Lesage, Dries;Lips, Wouter</t>
  </si>
  <si>
    <t>https://ebookcentral.proquest.com/lib/iuavit/detail.action?docID=6531807</t>
  </si>
  <si>
    <t>Sprachliche Variationen Von Mathematischen Textaufgaben : Entwicklung Eines Instruments Zur Textanpassung Für Textaufgaben Im Mathematikunterricht</t>
  </si>
  <si>
    <t>Bednorz, David</t>
  </si>
  <si>
    <t>https://ebookcentral.proquest.com/lib/iuavit/detail.action?docID=6531811</t>
  </si>
  <si>
    <t>Napoleonic Governance in the Netherlands and Northwest Germany : Conquest, Incorporation, and Integration</t>
  </si>
  <si>
    <t>van der Burg, Martijn</t>
  </si>
  <si>
    <t>D900-2027</t>
  </si>
  <si>
    <t>https://ebookcentral.proquest.com/lib/iuavit/detail.action?docID=6531830</t>
  </si>
  <si>
    <t>Polarimetric Synthetic Aperture Radar : Principles and Application</t>
  </si>
  <si>
    <t>Hajnsek, Irena;Desnos, Yves-Louis</t>
  </si>
  <si>
    <t>https://ebookcentral.proquest.com/lib/iuavit/detail.action?docID=6531842</t>
  </si>
  <si>
    <t>Dialogue for Intercultural Understanding : Placing Cultural Literacy at the Heart of Learning</t>
  </si>
  <si>
    <t>Maine, Fiona;Vrikki, Maria</t>
  </si>
  <si>
    <t>https://ebookcentral.proquest.com/lib/iuavit/detail.action?docID=6531848</t>
  </si>
  <si>
    <t>Rhythms of the Afro-Atlantic World : Rituals and Remembrances</t>
  </si>
  <si>
    <t>Nwankwo, Ifeoma C. K.;Diouf, Mamadou</t>
  </si>
  <si>
    <t>M1630.18 .R498 2010</t>
  </si>
  <si>
    <t>Black people-Music. ; Hip-hop. ; Popular music-Music.</t>
  </si>
  <si>
    <t>https://ebookcentral.proquest.com/lib/iuavit/detail.action?docID=6532618</t>
  </si>
  <si>
    <t>Imperfect Creatures : Vermin, Literature, and the Sciences of Life, 1600-1740</t>
  </si>
  <si>
    <t>Cole, Lucinda</t>
  </si>
  <si>
    <t>PR428</t>
  </si>
  <si>
    <t>820.9/36</t>
  </si>
  <si>
    <t>Animals as carriers of disease. ; Human-animal relationships in literature.</t>
  </si>
  <si>
    <t>https://ebookcentral.proquest.com/lib/iuavit/detail.action?docID=6533233</t>
  </si>
  <si>
    <t>Anatomy of a Civil War : Sociopolitical Impacts of the Kurdish Conflict in Turkey</t>
  </si>
  <si>
    <t>Gurses, Mehmet</t>
  </si>
  <si>
    <t>DR435</t>
  </si>
  <si>
    <t>956.1/00491597</t>
  </si>
  <si>
    <t>https://ebookcentral.proquest.com/lib/iuavit/detail.action?docID=6533234</t>
  </si>
  <si>
    <t>Anti-Imperialist Modernism : Race and Transnational Radical Culture from the Great Depression to the Cold War</t>
  </si>
  <si>
    <t>Balthaser, Benjamin</t>
  </si>
  <si>
    <t>HN90</t>
  </si>
  <si>
    <t>303.48/4</t>
  </si>
  <si>
    <t>https://ebookcentral.proquest.com/lib/iuavit/detail.action?docID=6533235</t>
  </si>
  <si>
    <t>The Resonance of Unseen Things : Poetics, Power, Captivity, and UFOs in the American Uncanny</t>
  </si>
  <si>
    <t>Lepselter, Susan</t>
  </si>
  <si>
    <t>Social Science; General Works/Reference</t>
  </si>
  <si>
    <t>HV6275 .L477 2016</t>
  </si>
  <si>
    <t>Conspiracy theories. ; Human-alien encounters.</t>
  </si>
  <si>
    <t>https://ebookcentral.proquest.com/lib/iuavit/detail.action?docID=6533236</t>
  </si>
  <si>
    <t>Three-Way Street : Jews, Germans, and the Transnational</t>
  </si>
  <si>
    <t>Geller, Jay Howard;Morris, Leslie</t>
  </si>
  <si>
    <t>DS134</t>
  </si>
  <si>
    <t>305.892/4043</t>
  </si>
  <si>
    <t>https://ebookcentral.proquest.com/lib/iuavit/detail.action?docID=6533238</t>
  </si>
  <si>
    <t>India China : Rethinking Borders and Security</t>
  </si>
  <si>
    <t>Ling, L. H. M.;Abdenur, Adriana Erthal;Banerjee, Payal;Kurian, Nimmi;Lama, Mahendra P.;Bo, Li</t>
  </si>
  <si>
    <t>DS450</t>
  </si>
  <si>
    <t>https://ebookcentral.proquest.com/lib/iuavit/detail.action?docID=6533239</t>
  </si>
  <si>
    <t>Spectacular Disappearances : Celebrity and Privacy, 1696-1801</t>
  </si>
  <si>
    <t>Fawcett, Julia H.</t>
  </si>
  <si>
    <t>PR442 .F393 2016</t>
  </si>
  <si>
    <t>English literature-18th century-History and criticism. ; Great Britain-Civilization-18th century. ; Theater-Great Britain-History-18th century.</t>
  </si>
  <si>
    <t>https://ebookcentral.proquest.com/lib/iuavit/detail.action?docID=6533243</t>
  </si>
  <si>
    <t>The Most Noble of People : Religious, Ethnic, and Gender Identity in Muslim Spain</t>
  </si>
  <si>
    <t>Coope, Jessica</t>
  </si>
  <si>
    <t>DP102</t>
  </si>
  <si>
    <t>946/.02</t>
  </si>
  <si>
    <t>https://ebookcentral.proquest.com/lib/iuavit/detail.action?docID=6533244</t>
  </si>
  <si>
    <t>The Taiwan Voter</t>
  </si>
  <si>
    <t>Achen, Christopher Henry;Wang, T. Y.</t>
  </si>
  <si>
    <t>HM753 .T359 2017</t>
  </si>
  <si>
    <t>Identity politics. ; Political participation. ; Political parties-Taiwan.</t>
  </si>
  <si>
    <t>https://ebookcentral.proquest.com/lib/iuavit/detail.action?docID=6533245</t>
  </si>
  <si>
    <t>Medieval Women and Their Objects</t>
  </si>
  <si>
    <t>Adams, Jennifer;Bradbury, Nancy</t>
  </si>
  <si>
    <t>HQ1147</t>
  </si>
  <si>
    <t>https://ebookcentral.proquest.com/lib/iuavit/detail.action?docID=6533246</t>
  </si>
  <si>
    <t>The Chatter of the Visible : Montage and Narrative in Weimar Germany</t>
  </si>
  <si>
    <t>McBride, Patrizia C.</t>
  </si>
  <si>
    <t>TR145 .M337 2016</t>
  </si>
  <si>
    <t>Photography.</t>
  </si>
  <si>
    <t>https://ebookcentral.proquest.com/lib/iuavit/detail.action?docID=6533247</t>
  </si>
  <si>
    <t>Der Deutschsprachige Nachkriegsroman und Die Tradition des Unzuverlässigen Erzählens</t>
  </si>
  <si>
    <t>Aumüller, Matthias;Kindt, Tom</t>
  </si>
  <si>
    <t>PN441-1009.5</t>
  </si>
  <si>
    <t>https://ebookcentral.proquest.com/lib/iuavit/detail.action?docID=6533330</t>
  </si>
  <si>
    <t>GeomInt-Mechanical Integrity of Host Rocks</t>
  </si>
  <si>
    <t>Kolditz, Olaf;Görke, Uwe-Jens;Konietzky, Heinz;Maßmann, Jobst;Nest, Mathias;Steeb, Holger;Wuttke, Frank;Nagel, Thomas</t>
  </si>
  <si>
    <t>https://ebookcentral.proquest.com/lib/iuavit/detail.action?docID=6533358</t>
  </si>
  <si>
    <t>Smart Technologies for Precision Assembly : 9th IFIP WG 5. 5 International Precision Assembly Seminar, IPAS 2020, Virtual Event, December 14-15, 2020, Revised Selected Papers</t>
  </si>
  <si>
    <t>Ratchev, Svetan</t>
  </si>
  <si>
    <t>https://ebookcentral.proquest.com/lib/iuavit/detail.action?docID=6533434</t>
  </si>
  <si>
    <t>Seeing the Past with Computers : Experiments with Augmented Reality and Computer Vision for History</t>
  </si>
  <si>
    <t>Kee, Kevin;Compeau, Timothy J.</t>
  </si>
  <si>
    <t>AZ105</t>
  </si>
  <si>
    <t>https://ebookcentral.proquest.com/lib/iuavit/detail.action?docID=6533680</t>
  </si>
  <si>
    <t>Essays on the Modern Japanese Church : Christianity in Meiji Japan</t>
  </si>
  <si>
    <t>University of Michigan, Center for Japanese Studies</t>
  </si>
  <si>
    <t>Yamaji, Aizan;Squires, Graham;Squires, Grahan</t>
  </si>
  <si>
    <t>BR1307</t>
  </si>
  <si>
    <t>https://ebookcentral.proquest.com/lib/iuavit/detail.action?docID=6533744</t>
  </si>
  <si>
    <t>Karawitan : Source Readings in Javanese Gamelan and Vocal Music, Volume 2</t>
  </si>
  <si>
    <t>University of Michigan, Center for South &amp; Southeast Asian Studies</t>
  </si>
  <si>
    <t>Becker, Judith;Feinstein, Alan H.</t>
  </si>
  <si>
    <t>ML345</t>
  </si>
  <si>
    <t>https://ebookcentral.proquest.com/lib/iuavit/detail.action?docID=6533745</t>
  </si>
  <si>
    <t>Envisioning Socialism : Television and the Cold War in the German Democratic Republic</t>
  </si>
  <si>
    <t>Gumbert, Heather</t>
  </si>
  <si>
    <t>PN1992</t>
  </si>
  <si>
    <t>302.23/45</t>
  </si>
  <si>
    <t>https://ebookcentral.proquest.com/lib/iuavit/detail.action?docID=6533746</t>
  </si>
  <si>
    <t>Central Documents and Politburo Politics in China</t>
  </si>
  <si>
    <t>Center for Chinese Studies Publications</t>
  </si>
  <si>
    <t>Lieberthal, Kenneth;Tong, James;Yeung, Sai-cheung</t>
  </si>
  <si>
    <t>JQ1509</t>
  </si>
  <si>
    <t>https://ebookcentral.proquest.com/lib/iuavit/detail.action?docID=6533747</t>
  </si>
  <si>
    <t>Karawitan : Source Readings in Javanese Gamelan and Vocal Music, Volume 3</t>
  </si>
  <si>
    <t>https://ebookcentral.proquest.com/lib/iuavit/detail.action?docID=6533749</t>
  </si>
  <si>
    <t>Modern China, 1840-1972 : An Introduction to Sources and Research Aids</t>
  </si>
  <si>
    <t>Nathan, Andrew</t>
  </si>
  <si>
    <t>Z3108</t>
  </si>
  <si>
    <t>https://ebookcentral.proquest.com/lib/iuavit/detail.action?docID=6533750</t>
  </si>
  <si>
    <t>The Post-Conflict Environment : Investigation and Critique</t>
  </si>
  <si>
    <t>Monk, Daniel Bertrand;Mundy, Jacob</t>
  </si>
  <si>
    <t>HV639</t>
  </si>
  <si>
    <t>303.6/9</t>
  </si>
  <si>
    <t>https://ebookcentral.proquest.com/lib/iuavit/detail.action?docID=6533751</t>
  </si>
  <si>
    <t>Citizens and Groups in Contemporary China</t>
  </si>
  <si>
    <t>Falkenheim, Victor</t>
  </si>
  <si>
    <t>JQ1514</t>
  </si>
  <si>
    <t>322.4/3/0951</t>
  </si>
  <si>
    <t>https://ebookcentral.proquest.com/lib/iuavit/detail.action?docID=6533752</t>
  </si>
  <si>
    <t>Bluestocking Feminism and British-German Cultural Transfer, 1750-1837</t>
  </si>
  <si>
    <t>Johns, Alessa</t>
  </si>
  <si>
    <t>HQ1587</t>
  </si>
  <si>
    <t>305.4094090/33</t>
  </si>
  <si>
    <t>https://ebookcentral.proquest.com/lib/iuavit/detail.action?docID=6533753</t>
  </si>
  <si>
    <t>Classifying the Zhuangzi Chapters</t>
  </si>
  <si>
    <t>Liu, Xiaogan;Savage, William</t>
  </si>
  <si>
    <t>BL1900</t>
  </si>
  <si>
    <t>https://ebookcentral.proquest.com/lib/iuavit/detail.action?docID=6533754</t>
  </si>
  <si>
    <t>The Jazz Republic : Music, Race, and American Culture in Weimar Germany</t>
  </si>
  <si>
    <t>Wipplinger, Jonathan O.</t>
  </si>
  <si>
    <t>DD61 .W577 2017</t>
  </si>
  <si>
    <t>Germany-Civilization-American influences. ; Jazz. ; Music and race.</t>
  </si>
  <si>
    <t>https://ebookcentral.proquest.com/lib/iuavit/detail.action?docID=6533756</t>
  </si>
  <si>
    <t>Architecture and Modern Literature</t>
  </si>
  <si>
    <t>Spurr, David Anton</t>
  </si>
  <si>
    <t>PN56</t>
  </si>
  <si>
    <t>809/.93357</t>
  </si>
  <si>
    <t>https://ebookcentral.proquest.com/lib/iuavit/detail.action?docID=6533758</t>
  </si>
  <si>
    <t>Proletarian Hegemony in the Chinese Revolution and the Canton Commune Of 1927</t>
  </si>
  <si>
    <t>Thomas, S. Bernard</t>
  </si>
  <si>
    <t>DS775</t>
  </si>
  <si>
    <t>https://ebookcentral.proquest.com/lib/iuavit/detail.action?docID=6533759</t>
  </si>
  <si>
    <t>Putting Inequality in Context : Class, Public Opinion, and Representation in the United States</t>
  </si>
  <si>
    <t>Ellis, Christopher</t>
  </si>
  <si>
    <t>HC21 .E455 2017</t>
  </si>
  <si>
    <t>Economic history. ; Equality-United States. ; Political participation-United States.</t>
  </si>
  <si>
    <t>https://ebookcentral.proquest.com/lib/iuavit/detail.action?docID=6533760</t>
  </si>
  <si>
    <t>Early Film Culture in Hong Kong, Taiwan, and Republican China : Kaleidoscopic Histories</t>
  </si>
  <si>
    <t>Yeh, Emilie Yueh-yu</t>
  </si>
  <si>
    <t>PN1993</t>
  </si>
  <si>
    <t>https://ebookcentral.proquest.com/lib/iuavit/detail.action?docID=6533761</t>
  </si>
  <si>
    <t>Digital Rhetoric : Theory, Method, Practice</t>
  </si>
  <si>
    <t>Eyman, Douglas</t>
  </si>
  <si>
    <t>P301.5.D37 E963 2015</t>
  </si>
  <si>
    <t>Digital media. ; Rhetoric-Data processing. ; Rhetoric-Study and teaching.</t>
  </si>
  <si>
    <t>https://ebookcentral.proquest.com/lib/iuavit/detail.action?docID=6533802</t>
  </si>
  <si>
    <t>A World of Fiction : Digital Collections and the Future of Literary History</t>
  </si>
  <si>
    <t>Bode, Katherine</t>
  </si>
  <si>
    <t>PN3448.S48 B634 2018</t>
  </si>
  <si>
    <t>Australian newspapers-History-19th century. ; Fiction-Publishing-Australia-History-19th century. ; Serialized fiction-History and criticism.</t>
  </si>
  <si>
    <t>https://ebookcentral.proquest.com/lib/iuavit/detail.action?docID=6533803</t>
  </si>
  <si>
    <t>Learning Legacies : Archive to Action Through Women's Cross-Cultural Teaching</t>
  </si>
  <si>
    <t>Robbins, Sarah Ruffing</t>
  </si>
  <si>
    <t>LC1099.3 .R633 2017</t>
  </si>
  <si>
    <t>Women teachers-United States. ; Education-Biographical methods. ; Culturally relevant pedagogy-United States.</t>
  </si>
  <si>
    <t>https://ebookcentral.proquest.com/lib/iuavit/detail.action?docID=6533805</t>
  </si>
  <si>
    <t>Sites of Translation : What Multilinguals Can Teach Us about Digital Writing and Rhetoric</t>
  </si>
  <si>
    <t>Gonzales, Laura</t>
  </si>
  <si>
    <t>P306 .G669 2018</t>
  </si>
  <si>
    <t>Translating and interpreting. ; Translanguaging (Linguistics)</t>
  </si>
  <si>
    <t>https://ebookcentral.proquest.com/lib/iuavit/detail.action?docID=6533806</t>
  </si>
  <si>
    <t>Stamping American Memory : Collectors, Citizens, and the Post</t>
  </si>
  <si>
    <t>Brennan, Sheila</t>
  </si>
  <si>
    <t>Business/Management; Fine Arts</t>
  </si>
  <si>
    <t>HE6204.U5 B746 2018</t>
  </si>
  <si>
    <t>Postage stamps-United States-History. ; Stamp collecting-United States-History.</t>
  </si>
  <si>
    <t>https://ebookcentral.proquest.com/lib/iuavit/detail.action?docID=6533807</t>
  </si>
  <si>
    <t>Internationalizing International Communication</t>
  </si>
  <si>
    <t>Lee, Chin-Chuan</t>
  </si>
  <si>
    <t>P96.I5 I584 2014</t>
  </si>
  <si>
    <t>Communication, International.</t>
  </si>
  <si>
    <t>https://ebookcentral.proquest.com/lib/iuavit/detail.action?docID=6533808</t>
  </si>
  <si>
    <t>Big Digital Humanities : Imagining a Meeting Place for the Humanities and the Digital</t>
  </si>
  <si>
    <t>Svensson, Patrik</t>
  </si>
  <si>
    <t>AZ105 .S946 2016</t>
  </si>
  <si>
    <t>Digital humanities. ; Big data.</t>
  </si>
  <si>
    <t>https://ebookcentral.proquest.com/lib/iuavit/detail.action?docID=6533811</t>
  </si>
  <si>
    <t>Digital Rubbish : A Natural History of Electronics</t>
  </si>
  <si>
    <t>Gabrys, Jennifer</t>
  </si>
  <si>
    <t>Engineering; Engineering: Environmental; Environmental Studies</t>
  </si>
  <si>
    <t>TD799</t>
  </si>
  <si>
    <t>363.72/88</t>
  </si>
  <si>
    <t>Electronic apparatus and appliances-History. ; Electronic waste.</t>
  </si>
  <si>
    <t>https://ebookcentral.proquest.com/lib/iuavit/detail.action?docID=6533976</t>
  </si>
  <si>
    <t>The Media Welfare State : Nordic Media in the Digital Era</t>
  </si>
  <si>
    <t>Mjøs, Ole J.;Moe, Hallvard;Syvertsen, Trine;Enli, Gunn Sara</t>
  </si>
  <si>
    <t>P92</t>
  </si>
  <si>
    <t>Mass media-Social aspects-Scandinavia. ; Digital media-Social aspects-Scandinavia.</t>
  </si>
  <si>
    <t>https://ebookcentral.proquest.com/lib/iuavit/detail.action?docID=6533977</t>
  </si>
  <si>
    <t>Play Redux : The Form of Computer Games</t>
  </si>
  <si>
    <t>Myers, David</t>
  </si>
  <si>
    <t>GV1469</t>
  </si>
  <si>
    <t>Play-Social aspects. ; Computer games-Social aspects.</t>
  </si>
  <si>
    <t>https://ebookcentral.proquest.com/lib/iuavit/detail.action?docID=6533979</t>
  </si>
  <si>
    <t>Discovering Addiction : The Science and Politics of Substance Abuse Research</t>
  </si>
  <si>
    <t>Campbell, Nancy D.</t>
  </si>
  <si>
    <t>Medicine; Psychology; Health; Social Science</t>
  </si>
  <si>
    <t>RC564</t>
  </si>
  <si>
    <t>Substance abuse. ; Medical policy.</t>
  </si>
  <si>
    <t>https://ebookcentral.proquest.com/lib/iuavit/detail.action?docID=6533980</t>
  </si>
  <si>
    <t>Studies in Malaysian Oral and Musical Traditions</t>
  </si>
  <si>
    <t>Malm, William P.;Sweeney, Amin</t>
  </si>
  <si>
    <t>https://ebookcentral.proquest.com/lib/iuavit/detail.action?docID=6533982</t>
  </si>
  <si>
    <t>Doom : Scarydarkfast</t>
  </si>
  <si>
    <t>Pinchbeck, Dan</t>
  </si>
  <si>
    <t>https://ebookcentral.proquest.com/lib/iuavit/detail.action?docID=6533983</t>
  </si>
  <si>
    <t>Making News at the New York Times</t>
  </si>
  <si>
    <t>Usher, Nikki</t>
  </si>
  <si>
    <t>PN4899</t>
  </si>
  <si>
    <t>071/.471</t>
  </si>
  <si>
    <t>Journalism-United States-History-21st century. ; Online journalism-United States.</t>
  </si>
  <si>
    <t>https://ebookcentral.proquest.com/lib/iuavit/detail.action?docID=6533984</t>
  </si>
  <si>
    <t>My Life As a Night Elf Priest : An Anthropological Account of World of Warcraft</t>
  </si>
  <si>
    <t>Nardi, Bonnie</t>
  </si>
  <si>
    <t>Computer games-Social aspects. ; World of Warcraft (Game)</t>
  </si>
  <si>
    <t>https://ebookcentral.proquest.com/lib/iuavit/detail.action?docID=6533985</t>
  </si>
  <si>
    <t>Framed : The New Woman Criminal in British Culture at the Fin de Siecle</t>
  </si>
  <si>
    <t>Miller, Elizabeth Carolyn</t>
  </si>
  <si>
    <t>PR878</t>
  </si>
  <si>
    <t>823/.087209</t>
  </si>
  <si>
    <t>https://ebookcentral.proquest.com/lib/iuavit/detail.action?docID=6533986</t>
  </si>
  <si>
    <t>Wiki Writing : Collaborative Learning in the College Classroom</t>
  </si>
  <si>
    <t>Barton, Matthew;Cummings, Robert</t>
  </si>
  <si>
    <t>PE1404</t>
  </si>
  <si>
    <t>808/.0420711</t>
  </si>
  <si>
    <t>https://ebookcentral.proquest.com/lib/iuavit/detail.action?docID=6533987</t>
  </si>
  <si>
    <t>Kinship and History in South Asia : Four Lectures</t>
  </si>
  <si>
    <t>Trautmann, Thomas R.</t>
  </si>
  <si>
    <t>GN635</t>
  </si>
  <si>
    <t>https://ebookcentral.proquest.com/lib/iuavit/detail.action?docID=6533988</t>
  </si>
  <si>
    <t>Writing and Renunciation in Medieval Japan : The Works of the Poet-Priest Kamo No Chomei</t>
  </si>
  <si>
    <t>Pandey, Rajyashree</t>
  </si>
  <si>
    <t>PL791</t>
  </si>
  <si>
    <t>Kamo, Chōmei,-1153?-1216?-Criticism and interpretation.</t>
  </si>
  <si>
    <t>https://ebookcentral.proquest.com/lib/iuavit/detail.action?docID=6533993</t>
  </si>
  <si>
    <t>Musashino in Tuscany : Japanese Overseas Travel Literature, 1860-1912</t>
  </si>
  <si>
    <t>Fessler, Susanna</t>
  </si>
  <si>
    <t>PL721</t>
  </si>
  <si>
    <t>895.6/8420809491404</t>
  </si>
  <si>
    <t>Authors, Japanese-19th century-Travel-Europe. ; Authors, Japanese-19th century-Travel-United States.</t>
  </si>
  <si>
    <t>https://ebookcentral.proquest.com/lib/iuavit/detail.action?docID=6533994</t>
  </si>
  <si>
    <t>Chinese and Japanese Music-Dramas</t>
  </si>
  <si>
    <t>Crump, J. I.;Malm, William P.</t>
  </si>
  <si>
    <t>ML1751.C4 .C456 1975</t>
  </si>
  <si>
    <t>782.1/0951</t>
  </si>
  <si>
    <t>Operas, Chinese-History and criticism. ; Theater-China.</t>
  </si>
  <si>
    <t>https://ebookcentral.proquest.com/lib/iuavit/detail.action?docID=6533995</t>
  </si>
  <si>
    <t>The Cultural Revolution : 1967 in Review</t>
  </si>
  <si>
    <t>Oksenberg, Michel;Riskin, Carl;Vogel, Ezra F.</t>
  </si>
  <si>
    <t>https://ebookcentral.proquest.com/lib/iuavit/detail.action?docID=6533998</t>
  </si>
  <si>
    <t>An Annotated Bibliography of Chinese Painting Catalogues and Related Texts</t>
  </si>
  <si>
    <t>Lovell, Hin-cheung</t>
  </si>
  <si>
    <t>https://ebookcentral.proquest.com/lib/iuavit/detail.action?docID=6533999</t>
  </si>
  <si>
    <t>Hsin-Lun (New Treatise) and Other Writings by Huan T'an (43 B. C. -28 A. D. )</t>
  </si>
  <si>
    <t>Pokora, Timoteus</t>
  </si>
  <si>
    <t>B127.L43 .P656 1975</t>
  </si>
  <si>
    <t>Legalism (Chinese philosophy)-History.</t>
  </si>
  <si>
    <t>https://ebookcentral.proquest.com/lib/iuavit/detail.action?docID=6534000</t>
  </si>
  <si>
    <t>Writing History in the Digital Age</t>
  </si>
  <si>
    <t>Dougherty, Jack;Nawrotzki, Kristen</t>
  </si>
  <si>
    <t>D16</t>
  </si>
  <si>
    <t>902/.85</t>
  </si>
  <si>
    <t>Academic writing-Data processing.</t>
  </si>
  <si>
    <t>https://ebookcentral.proquest.com/lib/iuavit/detail.action?docID=6534001</t>
  </si>
  <si>
    <t>The Economy of Communist China, 1949-1969</t>
  </si>
  <si>
    <t>Cheng, Chu-yuan</t>
  </si>
  <si>
    <t>https://ebookcentral.proquest.com/lib/iuavit/detail.action?docID=6534003</t>
  </si>
  <si>
    <t>Teaching History in the Digital Age</t>
  </si>
  <si>
    <t>Kelly, T. Mills</t>
  </si>
  <si>
    <t>https://ebookcentral.proquest.com/lib/iuavit/detail.action?docID=6534004</t>
  </si>
  <si>
    <t>The American Automobile Industry : Rebirth or Requiem?</t>
  </si>
  <si>
    <t>Cole, Robert</t>
  </si>
  <si>
    <t>HD9710</t>
  </si>
  <si>
    <t>https://ebookcentral.proquest.com/lib/iuavit/detail.action?docID=6534005</t>
  </si>
  <si>
    <t>The Sting of Death and Other Stories</t>
  </si>
  <si>
    <t>Shimao, Toshio;Sparling, Kathryn</t>
  </si>
  <si>
    <t>PL838</t>
  </si>
  <si>
    <t>https://ebookcentral.proquest.com/lib/iuavit/detail.action?docID=6534006</t>
  </si>
  <si>
    <t>Poetry's Afterlife : Verse in the Digital Age</t>
  </si>
  <si>
    <t>Stein, Kevin</t>
  </si>
  <si>
    <t>PS326S74</t>
  </si>
  <si>
    <t>American poetry-21st century-History and criticism.</t>
  </si>
  <si>
    <t>https://ebookcentral.proquest.com/lib/iuavit/detail.action?docID=6534007</t>
  </si>
  <si>
    <t>Refining Child Pornography Law : Crime, Language, and Social Consequences</t>
  </si>
  <si>
    <t>Hessick, Carissa Byrne</t>
  </si>
  <si>
    <t>KF9323 .R445 2016</t>
  </si>
  <si>
    <t>Child pornography-United States. ; Child abuse-Law and legislation-United States.</t>
  </si>
  <si>
    <t>https://ebookcentral.proquest.com/lib/iuavit/detail.action?docID=6534010</t>
  </si>
  <si>
    <t>Imagining the Global : Transnational Media and Popular Culture Beyond East and West</t>
  </si>
  <si>
    <t>Darling-Wolf, Fabienne</t>
  </si>
  <si>
    <t>P94.6 .W654 2015</t>
  </si>
  <si>
    <t>Mass media-Social aspects-United States. ; Mass media-Social aspects-Japan. ; Mass media-Social aspects-France. ; Mass media and globalization.</t>
  </si>
  <si>
    <t>https://ebookcentral.proquest.com/lib/iuavit/detail.action?docID=6534012</t>
  </si>
  <si>
    <t>Tempest : Geometries of Play</t>
  </si>
  <si>
    <t>Ruggill, Judd Ethan;McAllister, Ken S.</t>
  </si>
  <si>
    <t>GV1469.35.T46 R844 2015</t>
  </si>
  <si>
    <t>Video games-Social aspects-United States. ; Video games-Design-History.</t>
  </si>
  <si>
    <t>https://ebookcentral.proquest.com/lib/iuavit/detail.action?docID=6534013</t>
  </si>
  <si>
    <t>The Future of Africa : Challenges and Opportunities</t>
  </si>
  <si>
    <t>Cilliers, Jakkie</t>
  </si>
  <si>
    <t>Economics; Political Science</t>
  </si>
  <si>
    <t>https://ebookcentral.proquest.com/lib/iuavit/detail.action?docID=6536801</t>
  </si>
  <si>
    <t>International Organizations in Global Social Governance</t>
  </si>
  <si>
    <t>Martens, Kerstin;Niemann, Dennis;Kaasch, Alexandra</t>
  </si>
  <si>
    <t>https://ebookcentral.proquest.com/lib/iuavit/detail.action?docID=6536816</t>
  </si>
  <si>
    <t>Organisationsbildung und Gesellschaftliche Differenzierung : Empirische Einsichten und Theoretische Perspektiven</t>
  </si>
  <si>
    <t>Schwarting, Rena</t>
  </si>
  <si>
    <t>HM786-806</t>
  </si>
  <si>
    <t>https://ebookcentral.proquest.com/lib/iuavit/detail.action?docID=6536817</t>
  </si>
  <si>
    <t>Urban Informatics</t>
  </si>
  <si>
    <t>Shi, Wenzhong;Goodchild, Michael F.;Batty, Michael;Kwan, Mei-Po;Zhang, Anshu</t>
  </si>
  <si>
    <t>https://ebookcentral.proquest.com/lib/iuavit/detail.action?docID=6536818</t>
  </si>
  <si>
    <t>Resilient Urban Futures</t>
  </si>
  <si>
    <t>Hamstead, Zoé A.;Iwaniec, David M.;McPhearson, Timon;Berbés-Blázquez, Marta;Cook, Elizabeth M.;Muñoz-Erickson, Tischa A.</t>
  </si>
  <si>
    <t>https://ebookcentral.proquest.com/lib/iuavit/detail.action?docID=6536820</t>
  </si>
  <si>
    <t>Operationalisation of Hybrid Peacebuilding in Asia : From Theory to Practice</t>
  </si>
  <si>
    <t>Uesugi, Yuji;Deekeling, Anna;Umeyama, Sophie Shiori;McDonald-Colbert, Lawrence</t>
  </si>
  <si>
    <t>https://ebookcentral.proquest.com/lib/iuavit/detail.action?docID=6536823</t>
  </si>
  <si>
    <t>Migration to and from Welfare States : Lived Experiences of the Welfare-Migration Nexus in a Globalised World</t>
  </si>
  <si>
    <t>Ryndyk, Oleksandr;Suter, Brigitte;Odden, Gunhild</t>
  </si>
  <si>
    <t>https://ebookcentral.proquest.com/lib/iuavit/detail.action?docID=6543729</t>
  </si>
  <si>
    <t>Migration and Discrimination : IMISCOE Short Reader</t>
  </si>
  <si>
    <t>Fibbi, Rosita;Midtbøen, Arnfinn H.;Simon, Patrick</t>
  </si>
  <si>
    <t>https://ebookcentral.proquest.com/lib/iuavit/detail.action?docID=6543744</t>
  </si>
  <si>
    <t>Remedies Against Immunity? : Reconciling International and Domestic Law after the Italian Constitutional Court's Sentenza 238/2014</t>
  </si>
  <si>
    <t>Volpe, Valentina;Peters, Anne;Battini, Stefano</t>
  </si>
  <si>
    <t>https://ebookcentral.proquest.com/lib/iuavit/detail.action?docID=6543745</t>
  </si>
  <si>
    <t>AVENUE21. Politische und Planerische Aspekte der Automatisierten Mobilität</t>
  </si>
  <si>
    <t>Mitteregger, Mathias;Bruck, Emilia M.;Soteropoulos, Aggelos;Stickler, Andrea;Berger, Martin;Dangschat, Jens S.;Scheuvens, Rudolf;Banerjee, Ian</t>
  </si>
  <si>
    <t>https://ebookcentral.proquest.com/lib/iuavit/detail.action?docID=6546237</t>
  </si>
  <si>
    <t>Scientia Media : Der Molinismus und das Faktenwissen. Mit Einer Edition des Ms. BU Salamanca 156 Von 1653</t>
  </si>
  <si>
    <t>Knebel, Sven K.</t>
  </si>
  <si>
    <t>BL473</t>
  </si>
  <si>
    <t>https://ebookcentral.proquest.com/lib/iuavit/detail.action?docID=6548800</t>
  </si>
  <si>
    <t>Musculoskeletal Diseases 2021-2024 : Diagnostic Imaging</t>
  </si>
  <si>
    <t>https://ebookcentral.proquest.com/lib/iuavit/detail.action?docID=6550483</t>
  </si>
  <si>
    <t>Rethinking Social Action Through Music : The Search for Coexistence and Citizenship in Medellín's Music Schools</t>
  </si>
  <si>
    <t>Baker, Geoffrey</t>
  </si>
  <si>
    <t>https://ebookcentral.proquest.com/lib/iuavit/detail.action?docID=6551435</t>
  </si>
  <si>
    <t>New Perspectives in Biblical and Rabbinic Hebrew</t>
  </si>
  <si>
    <t>https://ebookcentral.proquest.com/lib/iuavit/detail.action?docID=6551436</t>
  </si>
  <si>
    <t>Classical Music : Contemporary Perspectives and Challenges</t>
  </si>
  <si>
    <t>Michael, Beckerman;Paul, Boghossian</t>
  </si>
  <si>
    <t>https://ebookcentral.proquest.com/lib/iuavit/detail.action?docID=6551437</t>
  </si>
  <si>
    <t>Middlemarch : Epigraphs and Mirrors</t>
  </si>
  <si>
    <t>Roberts, Adam</t>
  </si>
  <si>
    <t>https://ebookcentral.proquest.com/lib/iuavit/detail.action?docID=6551438</t>
  </si>
  <si>
    <t>Grammatical and Sociolinguistic Aspects of Ethiopian Languages</t>
  </si>
  <si>
    <t>Ado, Derib;Gelagay, Almaz Wasse;Johannessen, Janne Bondi</t>
  </si>
  <si>
    <t>PJ8993</t>
  </si>
  <si>
    <t>https://ebookcentral.proquest.com/lib/iuavit/detail.action?docID=6552128</t>
  </si>
  <si>
    <t>East and West of the Pentacrest : Linguistic Studies in Honor of Paula Kempchinsky</t>
  </si>
  <si>
    <t>Gupton, Timothy;Gielau, Elizabeth</t>
  </si>
  <si>
    <t>https://ebookcentral.proquest.com/lib/iuavit/detail.action?docID=6563628</t>
  </si>
  <si>
    <t>Masterpieces of Swiss Entrepreneurship : Swiss SMEs Competing in Global Markets</t>
  </si>
  <si>
    <t>Jeannet, Jean-Pierre;Volery, Thierry;Bergmann, Heiko;Amstutz, Cornelia</t>
  </si>
  <si>
    <t>HD30.28</t>
  </si>
  <si>
    <t>https://ebookcentral.proquest.com/lib/iuavit/detail.action?docID=6566901</t>
  </si>
  <si>
    <t>Optimization-Based Energy Management for Multi-Energy Maritime Grids</t>
  </si>
  <si>
    <t>Fang, Sidun;Wang, Hongdong</t>
  </si>
  <si>
    <t>https://ebookcentral.proquest.com/lib/iuavit/detail.action?docID=6566902</t>
  </si>
  <si>
    <t>UK Child Migration to Australia, 1945-1970 : A Study in Policy Failure</t>
  </si>
  <si>
    <t>Lynch, Gordon</t>
  </si>
  <si>
    <t>https://ebookcentral.proquest.com/lib/iuavit/detail.action?docID=6566903</t>
  </si>
  <si>
    <t>Designing Sustainability for All : The Design of Sustainable Product-Service Systems Applied to Distributed Economies</t>
  </si>
  <si>
    <t>Vezzoli, Carlo;Garcia Parra, Brenda;Kohtala, Cindy</t>
  </si>
  <si>
    <t>TA174</t>
  </si>
  <si>
    <t>https://ebookcentral.proquest.com/lib/iuavit/detail.action?docID=6566915</t>
  </si>
  <si>
    <t>Methodological Approaches to Societies in Transformation : How to Make Sense of Change</t>
  </si>
  <si>
    <t>Berriane, Yasmine;Derks, Annuska;Kreil, Aymon;Lüddeckens, Dorothea</t>
  </si>
  <si>
    <t>https://ebookcentral.proquest.com/lib/iuavit/detail.action?docID=6566965</t>
  </si>
  <si>
    <t>Social Background and the Demographic Life Course: Cross-National Comparisons</t>
  </si>
  <si>
    <t>Liefbroer, Aart C.;Zoutewelle-Terovan, Mioara</t>
  </si>
  <si>
    <t>https://ebookcentral.proquest.com/lib/iuavit/detail.action?docID=6566991</t>
  </si>
  <si>
    <t>Fostering Transformative Change for Sustainability in the Context of Socio-Ecological Production Landscapes and Seascapes (SEPLS)</t>
  </si>
  <si>
    <t>Nishi, Maiko;Subramanian, Suneetha M.;Gupta, Himangana;Yoshino, Madoka;Takahashi, Yasuo;Miwa, Koji;Takeda, Tomoko</t>
  </si>
  <si>
    <t>https://ebookcentral.proquest.com/lib/iuavit/detail.action?docID=6567002</t>
  </si>
  <si>
    <t>Undocumented Migrants and Their Everyday Lives : The Case of Finland</t>
  </si>
  <si>
    <t>Jauhiainen, Jussi S.;Tedeschi, Miriam</t>
  </si>
  <si>
    <t>https://ebookcentral.proquest.com/lib/iuavit/detail.action?docID=6567006</t>
  </si>
  <si>
    <t>Young Adults and Active Citizenship : Towards Social Inclusion Through Adult Education</t>
  </si>
  <si>
    <t>Kersh, Natasha;Toiviainen, Hanna;Pitkänen, Pirkko;Zarifis, George K.</t>
  </si>
  <si>
    <t>LC5201-6660.4</t>
  </si>
  <si>
    <t>https://ebookcentral.proquest.com/lib/iuavit/detail.action?docID=6567013</t>
  </si>
  <si>
    <t>Migrant Hospitalities in the Mediterranean : Encounters with Alterity in Birth and Death</t>
  </si>
  <si>
    <t>Grotti, Vanessa;Brightman, Marc</t>
  </si>
  <si>
    <t>https://ebookcentral.proquest.com/lib/iuavit/detail.action?docID=6567016</t>
  </si>
  <si>
    <t>Migrants, Refugees and Asylum Seekers' Integration in European Labour Markets : A Comparative Approach on Legal Barriers and Enablers</t>
  </si>
  <si>
    <t>Federico, Veronica;Baglioni, Simone</t>
  </si>
  <si>
    <t>https://ebookcentral.proquest.com/lib/iuavit/detail.action?docID=6567037</t>
  </si>
  <si>
    <t>Small Electric Vehicles : An International View on Light Three- and Four-Wheelers</t>
  </si>
  <si>
    <t>Ewert, Amelie;Schmid, Stephan;Brost, Mascha;Davies, Huw;Vinckx, Luc</t>
  </si>
  <si>
    <t>Engineering: Civil; Engineering: General; Engineering</t>
  </si>
  <si>
    <t>TA1001-1280</t>
  </si>
  <si>
    <t>https://ebookcentral.proquest.com/lib/iuavit/detail.action?docID=6567083</t>
  </si>
  <si>
    <t>Advances on Mechanics, Design Engineering and Manufacturing III : Proceedings of the International Joint Conference on Mechanics, Design Engineering and Advanced Manufacturing, JCM 2020, June 2-4 2020</t>
  </si>
  <si>
    <t>Roucoules, Lionel;Paredes, Manuel;Eynard, Benoit;Morer Camo, Paz;Rizzi, Caterina</t>
  </si>
  <si>
    <t>https://ebookcentral.proquest.com/lib/iuavit/detail.action?docID=6567088</t>
  </si>
  <si>
    <t>Social Development in the World Bank : Essays in Honor of Michael M. Cernea</t>
  </si>
  <si>
    <t>Koch-Weser, Maritta;Guggenheim, Scott</t>
  </si>
  <si>
    <t>https://ebookcentral.proquest.com/lib/iuavit/detail.action?docID=6568304</t>
  </si>
  <si>
    <t>Market Engineering : Insights from Two Decades of Research on Markets and Information</t>
  </si>
  <si>
    <t>Gimpel, Henner;Krämer, Jan;Neumann, Dirk;Pfeiffer, Jella;Seifert, Stefan;Teubner, Timm;Veit, Daniel J.;Weidlich, Anke</t>
  </si>
  <si>
    <t>https://ebookcentral.proquest.com/lib/iuavit/detail.action?docID=6568318</t>
  </si>
  <si>
    <t>Seeking the Best Master : State Ownership in the Varieties of Capitalism</t>
  </si>
  <si>
    <t>Szanyi, Miklós</t>
  </si>
  <si>
    <t>https://ebookcentral.proquest.com/lib/iuavit/detail.action?docID=6571537</t>
  </si>
  <si>
    <t>Sex Work, Health, and Human Rights : Global Inequities, Challenges, and Opportunities for Action</t>
  </si>
  <si>
    <t>Goldenberg, Shira M.;Morgan Thomas, Ruth;Forbes, Anna;Baral, Stefan</t>
  </si>
  <si>
    <t>https://ebookcentral.proquest.com/lib/iuavit/detail.action?docID=6578004</t>
  </si>
  <si>
    <t>Qualité des Aliments d'origine Animale : Production et Transformation</t>
  </si>
  <si>
    <t>Prache, Sophie;Santé-Lhoutellier, Véronique;Donnars, Catherine</t>
  </si>
  <si>
    <t>Agriculture; Medicine</t>
  </si>
  <si>
    <t>https://ebookcentral.proquest.com/lib/iuavit/detail.action?docID=6578098</t>
  </si>
  <si>
    <t>Agroecology: Research for the Transition of Agri-Food Systems and Territories</t>
  </si>
  <si>
    <t>Caquet, Thierry;Gascuel, Chantal;Tixier-Boichard, Michèle</t>
  </si>
  <si>
    <t>https://ebookcentral.proquest.com/lib/iuavit/detail.action?docID=6578099</t>
  </si>
  <si>
    <t>Eating in the City : Socio-Anthropological Perspectives from Africa, Latin America and Asia</t>
  </si>
  <si>
    <t>Soula, Audrey;Yount-André, Chelsie;Lepiller, Olivier;Bricas, Nicolas;Hassoun, Jean-Pierre;Manley, David</t>
  </si>
  <si>
    <t>https://ebookcentral.proquest.com/lib/iuavit/detail.action?docID=6578102</t>
  </si>
  <si>
    <t>Energy and Sustainable Futures : Proceedings of 2nd ICESF 2020</t>
  </si>
  <si>
    <t>Mporas, Iosif;Kourtessis, Pandelis;Al-Habaibeh, Amin;Asthana, Abhishek;Vukovic, Vladimir;Senior, John</t>
  </si>
  <si>
    <t>https://ebookcentral.proquest.com/lib/iuavit/detail.action?docID=6578533</t>
  </si>
  <si>
    <t>Social Selling Im B2B : Grundlagen, Tools, State of the Art</t>
  </si>
  <si>
    <t>Römmelt, Benedikt</t>
  </si>
  <si>
    <t>HF5438.4</t>
  </si>
  <si>
    <t>https://ebookcentral.proquest.com/lib/iuavit/detail.action?docID=6578553</t>
  </si>
  <si>
    <t>The Global Lives of German Migrants : Consequences of International Migration Across the Life Course</t>
  </si>
  <si>
    <t>Erlinghagen, Marcel;Ette, Andreas;Schneider, Norbert F.;Witte, Nils</t>
  </si>
  <si>
    <t>https://ebookcentral.proquest.com/lib/iuavit/detail.action?docID=6578564</t>
  </si>
  <si>
    <t>Comprehensive Utilization of Magnesium Slag by Pidgeon Process</t>
  </si>
  <si>
    <t>Wu, Laner;Han, Fenglan;Liu, Guiqun</t>
  </si>
  <si>
    <t>TA459-492</t>
  </si>
  <si>
    <t>https://ebookcentral.proquest.com/lib/iuavit/detail.action?docID=6578583</t>
  </si>
  <si>
    <t>Schulbezogene Motivierungspraktiken Von Eltern : Verbale Wert- und Kontrollzuschreibungen Gegenüber Kindern Beim Übertritt in Die Sekundarstufe I</t>
  </si>
  <si>
    <t>Steiner, Erich</t>
  </si>
  <si>
    <t>https://ebookcentral.proquest.com/lib/iuavit/detail.action?docID=6578718</t>
  </si>
  <si>
    <t>Animals in Our Midst: the Challenges of Co-Existing with Animals in the Anthropocene</t>
  </si>
  <si>
    <t>Bovenkerk, Bernice;Keulartz, Jozef</t>
  </si>
  <si>
    <t>SF756.39</t>
  </si>
  <si>
    <t>https://ebookcentral.proquest.com/lib/iuavit/detail.action?docID=6578756</t>
  </si>
  <si>
    <t>Recycling - ein Mittel Zu Welchem Zweck? : Modellbasierte Ermittlung der Energetischen Aufwände des Metallrecyclings Für Einen Empirischen Vergleich Mit der Primärgewinnung</t>
  </si>
  <si>
    <t>Schäfer, Philipp</t>
  </si>
  <si>
    <t>https://ebookcentral.proquest.com/lib/iuavit/detail.action?docID=6578762</t>
  </si>
  <si>
    <t>Water and Earthquakes</t>
  </si>
  <si>
    <t>Wang, Chi-yuen;Manga, Michael;Wang, Chi-yuen;Manga, Michael</t>
  </si>
  <si>
    <t>QC801-809</t>
  </si>
  <si>
    <t>https://ebookcentral.proquest.com/lib/iuavit/detail.action?docID=6606016</t>
  </si>
  <si>
    <t>Bearing Witness : Ruth Harrison and British Farm Animal Welfare (1920-2000)</t>
  </si>
  <si>
    <t>Kirchhelle, Claas</t>
  </si>
  <si>
    <t>https://ebookcentral.proquest.com/lib/iuavit/detail.action?docID=6606565</t>
  </si>
  <si>
    <t>Microorganisms in the Deterioration and Preservation of Cultural Heritage</t>
  </si>
  <si>
    <t>Joseph, Edith</t>
  </si>
  <si>
    <t>Social Science; Science: Chemistry; Science: Biology/Natural History</t>
  </si>
  <si>
    <t>QR</t>
  </si>
  <si>
    <t>https://ebookcentral.proquest.com/lib/iuavit/detail.action?docID=6606566</t>
  </si>
  <si>
    <t>Rice Improvement : Physiological, Molecular Breeding and Genetic Perspectives</t>
  </si>
  <si>
    <t>Ali, Jauhar;Wani, Shabir Hussain</t>
  </si>
  <si>
    <t>https://ebookcentral.proquest.com/lib/iuavit/detail.action?docID=6606585</t>
  </si>
  <si>
    <t>Female Employment and Gender Gaps in China</t>
  </si>
  <si>
    <t>Ma, Xinxin</t>
  </si>
  <si>
    <t>HD4801-8943</t>
  </si>
  <si>
    <t>https://ebookcentral.proquest.com/lib/iuavit/detail.action?docID=6606589</t>
  </si>
  <si>
    <t>Social Cash Transfer in Turkey : Toward Market Citizenship</t>
  </si>
  <si>
    <t>Ark-Yıldırım, Ceren;Smyrl, Marc</t>
  </si>
  <si>
    <t>https://ebookcentral.proquest.com/lib/iuavit/detail.action?docID=6607545</t>
  </si>
  <si>
    <t>Implementing Industry 4. 0 in SMEs : Concepts, Examples and Applications</t>
  </si>
  <si>
    <t>Matt, Dominik T.;Modrák, Vladimír;Zsifkovits, Helmut</t>
  </si>
  <si>
    <t>https://ebookcentral.proquest.com/lib/iuavit/detail.action?docID=6607699</t>
  </si>
  <si>
    <t>Governing the Pandemic : The Politics of Navigating a Mega-Crisis</t>
  </si>
  <si>
    <t>Boin, Arjen;McConnell, Allan;'t Hart, Paul</t>
  </si>
  <si>
    <t>https://ebookcentral.proquest.com/lib/iuavit/detail.action?docID=6611767</t>
  </si>
  <si>
    <t>Understanding the Creeping Crisis</t>
  </si>
  <si>
    <t>Boin, Arjen;Ekengren, Magnus;Rhinard, Mark</t>
  </si>
  <si>
    <t>https://ebookcentral.proquest.com/lib/iuavit/detail.action?docID=6611769</t>
  </si>
  <si>
    <t>Migration and Environmental Change in Morocco : In Search for Linkages Between Migration Aspirations and (Perceived) Environmental Changes</t>
  </si>
  <si>
    <t>Van Praag, Lore;Ou-Salah, Loubna;Hut, Elodie;Zickgraf, Caroline</t>
  </si>
  <si>
    <t>https://ebookcentral.proquest.com/lib/iuavit/detail.action?docID=6611784</t>
  </si>
  <si>
    <t>Trends in Cerebrovascular Surgery and Interventions</t>
  </si>
  <si>
    <t>Esposito, Giuseppe;Regli, Luca;Cenzato, Marco;Kaku, Yasuhiko;Tanaka, Michihiro;Tsukahara, Tetsuya</t>
  </si>
  <si>
    <t>RD592.5-596</t>
  </si>
  <si>
    <t>https://ebookcentral.proquest.com/lib/iuavit/detail.action?docID=6611787</t>
  </si>
  <si>
    <t>Migration, Urbanity and Cosmopolitanism in a Globalized World</t>
  </si>
  <si>
    <t>Lejeune, Catherine;Pagès-El Karoui, Delphine;Schmoll, Camille;Thiollet, Hélène</t>
  </si>
  <si>
    <t>https://ebookcentral.proquest.com/lib/iuavit/detail.action?docID=6611801</t>
  </si>
  <si>
    <t>A Victorian Curate : A Study of the Life and Career of the Rev. Dr John Hunt</t>
  </si>
  <si>
    <t>Yeandle, David</t>
  </si>
  <si>
    <t>https://ebookcentral.proquest.com/lib/iuavit/detail.action?docID=6613021</t>
  </si>
  <si>
    <t>Shaping the Digital Dissertation : Knowledge Production in the Arts and Humanities</t>
  </si>
  <si>
    <t>Kuhn, Virginia;Finger, Anke</t>
  </si>
  <si>
    <t>Engineering: General; Education</t>
  </si>
  <si>
    <t>https://ebookcentral.proquest.com/lib/iuavit/detail.action?docID=6613022</t>
  </si>
  <si>
    <t>Diversity and Rabbinization : Jewish Texts and Societies Between 400 and 1000 CE</t>
  </si>
  <si>
    <t>McDowell, Gavin;Naiweld, Ron;Stökl Ben Ezra, Daniel</t>
  </si>
  <si>
    <t>https://ebookcentral.proquest.com/lib/iuavit/detail.action?docID=6613023</t>
  </si>
  <si>
    <t>Right Research : Modelling Sustainable Research Practices in the Anthropocene</t>
  </si>
  <si>
    <t>Miya, Chelsea;Rossier, Oliver;Rockwell, Geoffrey</t>
  </si>
  <si>
    <t>Social Science; Education</t>
  </si>
  <si>
    <t>https://ebookcentral.proquest.com/lib/iuavit/detail.action?docID=6613024</t>
  </si>
  <si>
    <t>Der Junge Carnap in Historischem Kontext: 1918-1935 / Young Carnap in an Historical Context: 1918-1935</t>
  </si>
  <si>
    <t>Damböck, Christian;Wolters, Gereon</t>
  </si>
  <si>
    <t>https://ebookcentral.proquest.com/lib/iuavit/detail.action?docID=6614548</t>
  </si>
  <si>
    <t>Finance 4. 0 - Towards a Socio-Ecological Finance System : A Participatory Framework to Promote Sustainability</t>
  </si>
  <si>
    <t>Dapp, Marcus M.;Helbing, Dirk;Klauser, Stefan</t>
  </si>
  <si>
    <t>QA76.9.B56</t>
  </si>
  <si>
    <t>https://ebookcentral.proquest.com/lib/iuavit/detail.action?docID=6621447</t>
  </si>
  <si>
    <t>Forms of Exile in Jewish Literature and Thought : Twentieth-Century Central Europe and Migration to America</t>
  </si>
  <si>
    <t>Volková, Bronislava</t>
  </si>
  <si>
    <t>https://ebookcentral.proquest.com/lib/iuavit/detail.action?docID=6623865</t>
  </si>
  <si>
    <t>Atlas of Fallen Dust in Kuwait</t>
  </si>
  <si>
    <t>Al-Dousari, Ali</t>
  </si>
  <si>
    <t>https://ebookcentral.proquest.com/lib/iuavit/detail.action?docID=6623997</t>
  </si>
  <si>
    <t>Psychology and Politics : Intersections of Science and Ideology in the History of Psy-Sciences</t>
  </si>
  <si>
    <t>Borgos, Anna;Gyimesi, Júlia;Erős, Ferenc</t>
  </si>
  <si>
    <t>320.01/9</t>
  </si>
  <si>
    <t>https://ebookcentral.proquest.com/lib/iuavit/detail.action?docID=6624790</t>
  </si>
  <si>
    <t>After the Berlin Wall : A History of the EBRD, Volume 1</t>
  </si>
  <si>
    <t>Kilpatrick, Andrew</t>
  </si>
  <si>
    <t>https://ebookcentral.proquest.com/lib/iuavit/detail.action?docID=6624791</t>
  </si>
  <si>
    <t>A Task for Sisyphus : Why Europe's Roma Policies Fail</t>
  </si>
  <si>
    <t>Rostas, Iulius</t>
  </si>
  <si>
    <t>Social Science; Political Science; Education</t>
  </si>
  <si>
    <t>https://ebookcentral.proquest.com/lib/iuavit/detail.action?docID=6624792</t>
  </si>
  <si>
    <t>Introduction to Central Banking</t>
  </si>
  <si>
    <t>Bindseil, Ulrich;Fotia, Alessio</t>
  </si>
  <si>
    <t>https://ebookcentral.proquest.com/lib/iuavit/detail.action?docID=6627528</t>
  </si>
  <si>
    <t>Innovation, Sustainability and Management in Motorsports : The Case of Formula E</t>
  </si>
  <si>
    <t>Næss, Hans Erik;Tjønndal, Anne</t>
  </si>
  <si>
    <t>Business/Management; Sport &amp;amp; Recreation</t>
  </si>
  <si>
    <t>https://ebookcentral.proquest.com/lib/iuavit/detail.action?docID=6627534</t>
  </si>
  <si>
    <t>Bioeconomy and Global Inequalities : Socio-Ecological Perspectives on Biomass Sourcing and Production</t>
  </si>
  <si>
    <t>Backhouse, Maria;Lehmann, Rosa;Lorenzen, Kristina;Lühmann, Malte;Puder, Janina;Rodríguez, Fabricio;Tittor, Anne</t>
  </si>
  <si>
    <t>https://ebookcentral.proquest.com/lib/iuavit/detail.action?docID=6627586</t>
  </si>
  <si>
    <t>Die Zukunft Zwischen Goethezeit und Realismus : Literarische Zeitreflexion der Zwischenphase (1820-1850)</t>
  </si>
  <si>
    <t>Brössel, Stephan</t>
  </si>
  <si>
    <t>https://ebookcentral.proquest.com/lib/iuavit/detail.action?docID=6627597</t>
  </si>
  <si>
    <t>Visual Securitization : Humanitarian Representations and Migration Governance</t>
  </si>
  <si>
    <t>Massari, Alice</t>
  </si>
  <si>
    <t>https://ebookcentral.proquest.com/lib/iuavit/detail.action?docID=6627599</t>
  </si>
  <si>
    <t>Cinematic Histospheres : On the Theory and Practice of Historical Films</t>
  </si>
  <si>
    <t>Greiner, Rasmus</t>
  </si>
  <si>
    <t>PN1993-1999</t>
  </si>
  <si>
    <t>https://ebookcentral.proquest.com/lib/iuavit/detail.action?docID=6628087</t>
  </si>
  <si>
    <t>African Handbook of Climate Change Adaptation</t>
  </si>
  <si>
    <t>Leal Filho, Walter;Oguge, Nicholas;Ayal, Desalegn;Adeleke, Lydia;da Silva, Izael;Leal Filho, Walter;Oguge, Nicholas;Ayal, Desalegn;Adeleke, Lydia;da Silva, Izael</t>
  </si>
  <si>
    <t>https://ebookcentral.proquest.com/lib/iuavit/detail.action?docID=6628587</t>
  </si>
  <si>
    <t>The Heterogeneity of Cancer Metabolism</t>
  </si>
  <si>
    <t>Le, Anne</t>
  </si>
  <si>
    <t>RC261-271</t>
  </si>
  <si>
    <t>https://ebookcentral.proquest.com/lib/iuavit/detail.action?docID=6628607</t>
  </si>
  <si>
    <t>From Opinion Mining to Financial Argument Mining</t>
  </si>
  <si>
    <t>Chen, Chung-Chi;Huang, Hen-Hsen;Chen, Hsin-Hsi</t>
  </si>
  <si>
    <t>https://ebookcentral.proquest.com/lib/iuavit/detail.action?docID=6628611</t>
  </si>
  <si>
    <t>Atlas of Mineral Deposits Distribution in China (2020)</t>
  </si>
  <si>
    <t>Qi, Fanyu;Li, Xiaolei;Shang, Yuntao;Meng, Jie;Gao, Xuezheng;Kong, Zhaoyu;Li, Haixin;Yan, Haifei</t>
  </si>
  <si>
    <t>https://ebookcentral.proquest.com/lib/iuavit/detail.action?docID=6629016</t>
  </si>
  <si>
    <t>Uncertainty in Mechanical Engineering : Proceedings of the 4th International Conference on Uncertainty in Mechanical Engineering (ICUME 2021), June 7-8 2021</t>
  </si>
  <si>
    <t>Pelz, Peter F.;Groche, Peter</t>
  </si>
  <si>
    <t>https://ebookcentral.proquest.com/lib/iuavit/detail.action?docID=6631291</t>
  </si>
  <si>
    <t>Influences of the IEA Civic and Citizenship Education Studies : Practice, Policy, and Research Across Countries and Regions</t>
  </si>
  <si>
    <t>Malak-Minkiewicz, Barbara;Torney-Purta, Judith</t>
  </si>
  <si>
    <t>LC1091</t>
  </si>
  <si>
    <t>https://ebookcentral.proquest.com/lib/iuavit/detail.action?docID=6631347</t>
  </si>
  <si>
    <t>Making Healthcare Safe : The Story of the Patient Safety Movement</t>
  </si>
  <si>
    <t>Leape, Lucian L.</t>
  </si>
  <si>
    <t>Health; Social Science; Medicine</t>
  </si>
  <si>
    <t>https://ebookcentral.proquest.com/lib/iuavit/detail.action?docID=6633237</t>
  </si>
  <si>
    <t>Animating Unpredictable Effects : Nonlinearity in Hollywood's R&amp;d Complex</t>
  </si>
  <si>
    <t>Gowanlock, Jordan</t>
  </si>
  <si>
    <t>NC1765-1766</t>
  </si>
  <si>
    <t>https://ebookcentral.proquest.com/lib/iuavit/detail.action?docID=6633243</t>
  </si>
  <si>
    <t>Concepts, Frames and Cascades in Semantics, Cognition and Ontology</t>
  </si>
  <si>
    <t>Löbner, Sebastian;Gamerschlag, Thomas;Kalenscher, Tobias;Schrenk, Markus;Zeevat, Henk</t>
  </si>
  <si>
    <t>https://ebookcentral.proquest.com/lib/iuavit/detail.action?docID=6633269</t>
  </si>
  <si>
    <t>Writing and Publishing Scientific Papers : A Primer for the Non-English Speaker</t>
  </si>
  <si>
    <t>Lövei, Gábor L.</t>
  </si>
  <si>
    <t>https://ebookcentral.proquest.com/lib/iuavit/detail.action?docID=6633453</t>
  </si>
  <si>
    <t>On the Literature and Thought of the German Classical Era : Collected Essays</t>
  </si>
  <si>
    <t>Nisbet, Hugh Barr</t>
  </si>
  <si>
    <t>https://ebookcentral.proquest.com/lib/iuavit/detail.action?docID=6633454</t>
  </si>
  <si>
    <t>Inventory Analytics</t>
  </si>
  <si>
    <t>Rossi, Roberto</t>
  </si>
  <si>
    <t>Business/Management; Mathematics; Economics</t>
  </si>
  <si>
    <t>https://ebookcentral.proquest.com/lib/iuavit/detail.action?docID=6633455</t>
  </si>
  <si>
    <t>Die Christliche Predigt Im 21. Jahrhundert : Multimodale Analyse Einer Kommunikativen Gattung</t>
  </si>
  <si>
    <t>Dix, Carolin</t>
  </si>
  <si>
    <t>https://ebookcentral.proquest.com/lib/iuavit/detail.action?docID=6634971</t>
  </si>
  <si>
    <t>Nuclear and Radiological Emergencies in Animal Production Systems, Preparedness, Response and Recovery</t>
  </si>
  <si>
    <t>Naletoski, Ivancho;Luckins, Anthony G.;Viljoen, Gerrit</t>
  </si>
  <si>
    <t>SF600-1100</t>
  </si>
  <si>
    <t>https://ebookcentral.proquest.com/lib/iuavit/detail.action?docID=6635000</t>
  </si>
  <si>
    <t>Our Nanotechnology Future</t>
  </si>
  <si>
    <t>Natowitz, Joseph;Ngô, Christian</t>
  </si>
  <si>
    <t>Science; Science: General; Engineering: General</t>
  </si>
  <si>
    <t>https://ebookcentral.proquest.com/lib/iuavit/detail.action?docID=6635544</t>
  </si>
  <si>
    <t>Chasing the Chinese Dream : Four Decades of Following China's War on Poverty</t>
  </si>
  <si>
    <t>Brown, William N.</t>
  </si>
  <si>
    <t>https://ebookcentral.proquest.com/lib/iuavit/detail.action?docID=6635733</t>
  </si>
  <si>
    <t>Critical Issues in Head and Neck Oncology : Key Concepts from the Seventh THNO Meeting</t>
  </si>
  <si>
    <t>Vermorken, Jan B.;Budach, Volker;Leemans, C. René;Machiels, Jean-Pascal;Nicolai, Piero;O'Sullivan, Brian</t>
  </si>
  <si>
    <t>https://ebookcentral.proquest.com/lib/iuavit/detail.action?docID=6636681</t>
  </si>
  <si>
    <t>Advances in Assessment and Modeling of Earthquake Loss</t>
  </si>
  <si>
    <t>Akkar, Sinan;Ilki, Alper;Goksu, Caglar;Erdik, Mustafa</t>
  </si>
  <si>
    <t>https://ebookcentral.proquest.com/lib/iuavit/detail.action?docID=6636687</t>
  </si>
  <si>
    <t>EU-Turkey Relations : Theories, Institutions, and Policies</t>
  </si>
  <si>
    <t>Reiners, Wulf;Turhan, Ebru</t>
  </si>
  <si>
    <t>https://ebookcentral.proquest.com/lib/iuavit/detail.action?docID=6636696</t>
  </si>
  <si>
    <t>Temporäre an- und Abwesenheiten in ländlichen Räumen : Auswirkungen Multilokaler Lebensweisen Auf Land und Gesellschaft</t>
  </si>
  <si>
    <t>Othengrafen, Frank;Lange, Linda;Greinke, Lena</t>
  </si>
  <si>
    <t>https://ebookcentral.proquest.com/lib/iuavit/detail.action?docID=6637090</t>
  </si>
  <si>
    <t>Money and Debt: the Public Role of Banks</t>
  </si>
  <si>
    <t>Stellinga, Bart;de Hoog, Josta;van Riel, Arthur;de Vries, Casper</t>
  </si>
  <si>
    <t>https://ebookcentral.proquest.com/lib/iuavit/detail.action?docID=6637099</t>
  </si>
  <si>
    <t>Culture-Bearing Women : The Black Women Renaissance and Cultural Nationalism</t>
  </si>
  <si>
    <t>Penier, Izabella</t>
  </si>
  <si>
    <t>https://ebookcentral.proquest.com/lib/iuavit/detail.action?docID=6637327</t>
  </si>
  <si>
    <t>Theater As Metaphor</t>
  </si>
  <si>
    <t>Penskaya, Elena;Küpper, Joachim</t>
  </si>
  <si>
    <t>https://ebookcentral.proquest.com/lib/iuavit/detail.action?docID=6637390</t>
  </si>
  <si>
    <t>Advances in the Sociology of Trust and Cooperation : Theory, Experiments, and Field Studies</t>
  </si>
  <si>
    <t>Buskens, Vincent;Corten, Rense;Snijders, Chris</t>
  </si>
  <si>
    <t>https://ebookcentral.proquest.com/lib/iuavit/detail.action?docID=6637394</t>
  </si>
  <si>
    <t>Creating Standards : Interactions with Arabic Script in 12 Manuscript Cultures</t>
  </si>
  <si>
    <t>Bondarev, Dmitry;Gori, Alessandro;Souag, Lameen</t>
  </si>
  <si>
    <t>https://ebookcentral.proquest.com/lib/iuavit/detail.action?docID=6637395</t>
  </si>
  <si>
    <t>From Memory to Marble : The Historical Frieze of the Voortrekker Monument Part II: the Scenes</t>
  </si>
  <si>
    <t>https://ebookcentral.proquest.com/lib/iuavit/detail.action?docID=6637396</t>
  </si>
  <si>
    <t>Handbook of Stemmatology : History, Methodology, Digital Approaches</t>
  </si>
  <si>
    <t>Roelli, Philipp</t>
  </si>
  <si>
    <t>https://ebookcentral.proquest.com/lib/iuavit/detail.action?docID=6637398</t>
  </si>
  <si>
    <t>Rome and the Guidebook Tradition : From the Middle Ages to the 20th Century</t>
  </si>
  <si>
    <t>Blennow, Anna;Fogelberg Rota, Stefano</t>
  </si>
  <si>
    <t>914.56/32</t>
  </si>
  <si>
    <t>https://ebookcentral.proquest.com/lib/iuavit/detail.action?docID=6637400</t>
  </si>
  <si>
    <t>Empire of Liberty : Die Vereinigten Staaten Von der Reconstruction Zum Spanisch-Amerikanischen Krieg</t>
  </si>
  <si>
    <t>Hampf, Michaela</t>
  </si>
  <si>
    <t>https://ebookcentral.proquest.com/lib/iuavit/detail.action?docID=6637401</t>
  </si>
  <si>
    <t>Tra I Libri Di Isacco Argiro</t>
  </si>
  <si>
    <t>Gioffreda, Anna</t>
  </si>
  <si>
    <t>Literature; Science: General</t>
  </si>
  <si>
    <t>https://ebookcentral.proquest.com/lib/iuavit/detail.action?docID=6637402</t>
  </si>
  <si>
    <t>Zerstörung Von Geschriebenem : Historische und Transkulturelle Perspektiven</t>
  </si>
  <si>
    <t>Kühne-Wespi, Carina;Oschema, Klaus Peter;Quack, Joachim Friedrich</t>
  </si>
  <si>
    <t>https://ebookcentral.proquest.com/lib/iuavit/detail.action?docID=6637406</t>
  </si>
  <si>
    <t>Staging Doubt : Skepticism in Early Modern European Drama</t>
  </si>
  <si>
    <t>Pawlita, Leonie</t>
  </si>
  <si>
    <t>https://ebookcentral.proquest.com/lib/iuavit/detail.action?docID=6637407</t>
  </si>
  <si>
    <t>Simulations in Medicine : Computer-Aided Diagnostics and Therapy</t>
  </si>
  <si>
    <t>Roterman-Konieczna, Irena</t>
  </si>
  <si>
    <t>https://ebookcentral.proquest.com/lib/iuavit/detail.action?docID=6637408</t>
  </si>
  <si>
    <t>Materialität und Präsenz Spätantiker Inschriften : Eine Studie Zum Wandel der Inschriftenkultur in Den Italienischen Provinzen</t>
  </si>
  <si>
    <t>Bolle, Katharina</t>
  </si>
  <si>
    <t>https://ebookcentral.proquest.com/lib/iuavit/detail.action?docID=6637409</t>
  </si>
  <si>
    <t>Johann Gottlob Von Quandt (17871859) : Kunst Fördern und Ausstellen</t>
  </si>
  <si>
    <t>Deutscher Kunstverlag GmbH</t>
  </si>
  <si>
    <t>Rüfenacht, Andreas</t>
  </si>
  <si>
    <t>https://ebookcentral.proquest.com/lib/iuavit/detail.action?docID=6637411</t>
  </si>
  <si>
    <t>Data Visualization in Society</t>
  </si>
  <si>
    <t>Engebretsen, Martin;Kennedy, Helen</t>
  </si>
  <si>
    <t>Computer Science/IT; Political Science; Social Science</t>
  </si>
  <si>
    <t>https://ebookcentral.proquest.com/lib/iuavit/detail.action?docID=6637413</t>
  </si>
  <si>
    <t>Sacred Scripture / Sacred Space : The Interlacing of Real Places and Conceptual Spaces in Medieval Art and Architecture</t>
  </si>
  <si>
    <t>Frese, Tobias;Keil, Wilfried E.;Krüger, Kristina</t>
  </si>
  <si>
    <t>https://ebookcentral.proquest.com/lib/iuavit/detail.action?docID=6637415</t>
  </si>
  <si>
    <t>Manual der Koloproktologie</t>
  </si>
  <si>
    <t>Herold, Alexander;Schiedeck, Thomas</t>
  </si>
  <si>
    <t>https://ebookcentral.proquest.com/lib/iuavit/detail.action?docID=6637417</t>
  </si>
  <si>
    <t>Development on Loan : Microcredit and Marginalisation in Rural China</t>
  </si>
  <si>
    <t>Loubere, Nicholas</t>
  </si>
  <si>
    <t>https://ebookcentral.proquest.com/lib/iuavit/detail.action?docID=6637419</t>
  </si>
  <si>
    <t>Literature and Politics in the Later Foucault</t>
  </si>
  <si>
    <t>G. Blanco, Azucena</t>
  </si>
  <si>
    <t>https://ebookcentral.proquest.com/lib/iuavit/detail.action?docID=6637431</t>
  </si>
  <si>
    <t>Medieval Women, Material Culture, and Power : Matilda Plantagenet and Her Sisters</t>
  </si>
  <si>
    <t>Arc Humanities Press</t>
  </si>
  <si>
    <t>Jasperse, Jitske</t>
  </si>
  <si>
    <t>https://ebookcentral.proquest.com/lib/iuavit/detail.action?docID=6637432</t>
  </si>
  <si>
    <t>Das Hirsch-Institut Für Tropenmedizin : Asella, Äthiopien</t>
  </si>
  <si>
    <t>Häussinger, Dieter</t>
  </si>
  <si>
    <t>https://ebookcentral.proquest.com/lib/iuavit/detail.action?docID=6637433</t>
  </si>
  <si>
    <t>Urban Religion in Late Antiquity</t>
  </si>
  <si>
    <t>Lätzer-Lasar, Asuman;Urciuoli, Emiliano Rubens;Raja, Rubina;Rüpke, Jörg</t>
  </si>
  <si>
    <t>https://ebookcentral.proquest.com/lib/iuavit/detail.action?docID=6637434</t>
  </si>
  <si>
    <t>Health and Socio-Economic Status over the Life Course : First Results from SHARE Waves 6 And 7</t>
  </si>
  <si>
    <t>Börsch-Supan, Axel;Bristle, Johanna;Andersen-Ranberg, Karen;Brugiavini, Agar;Jusot, Florence;Litwin, Howard;Weber, Guglielmo</t>
  </si>
  <si>
    <t>https://ebookcentral.proquest.com/lib/iuavit/detail.action?docID=6637437</t>
  </si>
  <si>
    <t>Border Deaths : Causes, Dynamics and Consequences of Migration-Related Mortality</t>
  </si>
  <si>
    <t>Cuttitta, Paolo;Last, Tamara</t>
  </si>
  <si>
    <t>https://ebookcentral.proquest.com/lib/iuavit/detail.action?docID=6637438</t>
  </si>
  <si>
    <t>A Touch of Doubt : On Haptic Scepticism</t>
  </si>
  <si>
    <t>Aumiller, Rachel</t>
  </si>
  <si>
    <t>Religion; History; Philosophy</t>
  </si>
  <si>
    <t>https://ebookcentral.proquest.com/lib/iuavit/detail.action?docID=6637440</t>
  </si>
  <si>
    <t>Inschriftenkulturen Im Kommunalen Italien : Traditionen, Brüche, Neuanfänge</t>
  </si>
  <si>
    <t>Bolle, Katharina;Höh, Marc von der;Jaspert, Nikolas</t>
  </si>
  <si>
    <t>https://ebookcentral.proquest.com/lib/iuavit/detail.action?docID=6637441</t>
  </si>
  <si>
    <t>Screen Space Reconfigured</t>
  </si>
  <si>
    <t>Saether, Susanne;Bull, Synne Tollerud</t>
  </si>
  <si>
    <t>https://ebookcentral.proquest.com/lib/iuavit/detail.action?docID=6637447</t>
  </si>
  <si>
    <t>Levinas and Literature : New Directions</t>
  </si>
  <si>
    <t>Fagenblat, Michael;Cools, Arthur</t>
  </si>
  <si>
    <t>https://ebookcentral.proquest.com/lib/iuavit/detail.action?docID=6637450</t>
  </si>
  <si>
    <t>Confronting Antisemitism from the Perspectives of Christianity, Islam, and Judaism</t>
  </si>
  <si>
    <t>https://ebookcentral.proquest.com/lib/iuavit/detail.action?docID=6637451</t>
  </si>
  <si>
    <t>Der österreichische Werbefilm : Die Genese Eines Genres Von Seinen Anfängen Bis 1938</t>
  </si>
  <si>
    <t>Moser, Karin</t>
  </si>
  <si>
    <t>https://ebookcentral.proquest.com/lib/iuavit/detail.action?docID=6637452</t>
  </si>
  <si>
    <t>Approaches to the Medieval Self : Representations and Conceptualizations of the Self in the Textual and Material Culture of Western Scandinavia, C. 800-1500</t>
  </si>
  <si>
    <t>Eriksen, Stefka G.;Langsholt Holmqvist, Karen;Bandlien, Bjø</t>
  </si>
  <si>
    <t>https://ebookcentral.proquest.com/lib/iuavit/detail.action?docID=6637456</t>
  </si>
  <si>
    <t>The Aesthetics of Global Protest : Visual Culture and Communication</t>
  </si>
  <si>
    <t>McGarry, Aidan;Erhart, Itir;Eslen-Ziya, Hande;Jenzen, Olu;Korkut, Umut</t>
  </si>
  <si>
    <t>https://ebookcentral.proquest.com/lib/iuavit/detail.action?docID=6637462</t>
  </si>
  <si>
    <t>Rente Im Dritten Reich : Die Reichsversicherungsanstalt Für Angestellte 1933 Bis 1945</t>
  </si>
  <si>
    <t>Erker, Paul</t>
  </si>
  <si>
    <t>HD7105.35.G3E75 2019</t>
  </si>
  <si>
    <t>https://ebookcentral.proquest.com/lib/iuavit/detail.action?docID=6637463</t>
  </si>
  <si>
    <t>The Structures of the Film Experience by Jean-Pierre Meunier : Historical Assessments and Phenomenological Expansions</t>
  </si>
  <si>
    <t>Hanich, Julian;Fairfax, Daniel</t>
  </si>
  <si>
    <t>https://ebookcentral.proquest.com/lib/iuavit/detail.action?docID=6637464</t>
  </si>
  <si>
    <t>Chinese Annals in the Western Observatory : An Outline of Western Studies of Chinese Unearthed Documents</t>
  </si>
  <si>
    <t>Shaughnessy, Edward</t>
  </si>
  <si>
    <t>https://ebookcentral.proquest.com/lib/iuavit/detail.action?docID=6637466</t>
  </si>
  <si>
    <t>An Imaginary Trio : King Solomon, Jesus, and Aristotle</t>
  </si>
  <si>
    <t>Shavit, Yaacov</t>
  </si>
  <si>
    <t>https://ebookcentral.proquest.com/lib/iuavit/detail.action?docID=6637469</t>
  </si>
  <si>
    <t>Namenwechsel : Die Soziale Funktion Von Vornamen Im Transitionsprozess Transgeschlechtlicher Personen</t>
  </si>
  <si>
    <t>Schmidt-Jüngst, Miriam</t>
  </si>
  <si>
    <t>https://ebookcentral.proquest.com/lib/iuavit/detail.action?docID=6637470</t>
  </si>
  <si>
    <t>From Scrolls to Scrolling : Sacred Texts, Materiality, and Dynamic Media Cultures</t>
  </si>
  <si>
    <t>Anderson, Bradford A.</t>
  </si>
  <si>
    <t>https://ebookcentral.proquest.com/lib/iuavit/detail.action?docID=6637472</t>
  </si>
  <si>
    <t>Snapshot-Based Methods and Algorithms</t>
  </si>
  <si>
    <t>Benner, Peter;et al., et</t>
  </si>
  <si>
    <t>https://ebookcentral.proquest.com/lib/iuavit/detail.action?docID=6637473</t>
  </si>
  <si>
    <t>Mythische Sphärenwechsel : Methodisch Neue Zugänge Zu Antiken Mythen in Orient und Okzident</t>
  </si>
  <si>
    <t>Zgoll, Annette;Zgoll, Christian</t>
  </si>
  <si>
    <t>Literature; Language/Linguistics; History</t>
  </si>
  <si>
    <t>https://ebookcentral.proquest.com/lib/iuavit/detail.action?docID=6637477</t>
  </si>
  <si>
    <t>Yearbook of the Maimonides Centre for Advanced Studies. 2019</t>
  </si>
  <si>
    <t>Meyrav, Yoav</t>
  </si>
  <si>
    <t>Religion; Science: General</t>
  </si>
  <si>
    <t>https://ebookcentral.proquest.com/lib/iuavit/detail.action?docID=6637485</t>
  </si>
  <si>
    <t>LiebeLesen : Potsdamer Vorlesungen Zu Einem Großen Gefühl und Dessen Aneignung</t>
  </si>
  <si>
    <t>https://ebookcentral.proquest.com/lib/iuavit/detail.action?docID=6637489</t>
  </si>
  <si>
    <t>Normen und Standards Für Die Digitale Transformation : Werkzeuge, Praxisbeispiele und Entscheidungshilfen Für Innovative Unternehmen, Normungsorganisationen und Politische Entscheidungsträger</t>
  </si>
  <si>
    <t>Mangelsdorf, Axel;Weiler, Petra</t>
  </si>
  <si>
    <t>https://ebookcentral.proquest.com/lib/iuavit/detail.action?docID=6637491</t>
  </si>
  <si>
    <t>Visser 't Hooft, 1900-1985 : Living for the Unity of the Church</t>
  </si>
  <si>
    <t>Zeilstra, Jurjen;Jansen, Henry</t>
  </si>
  <si>
    <t>https://ebookcentral.proquest.com/lib/iuavit/detail.action?docID=6637493</t>
  </si>
  <si>
    <t>Nah Am Boden : Privater Hausbau Zwischen Wohnungsnot und Landkonflikt Im Samarkand der 50er- Und 60er-Jahre</t>
  </si>
  <si>
    <t>Petrova, Mariya</t>
  </si>
  <si>
    <t>Architecture; History; Social Science</t>
  </si>
  <si>
    <t>https://ebookcentral.proquest.com/lib/iuavit/detail.action?docID=6637495</t>
  </si>
  <si>
    <t>Anton Pannekoek: Ways of Viewing Science and Society : Ways of Viewing Science and Society</t>
  </si>
  <si>
    <t>Tai, Chaokang;Steen, Bart;Dongen, Jeroen</t>
  </si>
  <si>
    <t>Science; Science: Astronomy; Science: General</t>
  </si>
  <si>
    <t>https://ebookcentral.proquest.com/lib/iuavit/detail.action?docID=6637496</t>
  </si>
  <si>
    <t>De la Literatura Latinoamericana a la Literatura (latinoamericana) Mundial : Condiciones Materiales, Procesos y Actores</t>
  </si>
  <si>
    <t>Locane, Jorge J.</t>
  </si>
  <si>
    <t>https://ebookcentral.proquest.com/lib/iuavit/detail.action?docID=6637497</t>
  </si>
  <si>
    <t>The Patient Griselda Myth : Looking at Late Medieval and Early Modern European Literature</t>
  </si>
  <si>
    <t>Rüegg, Madeline</t>
  </si>
  <si>
    <t>https://ebookcentral.proquest.com/lib/iuavit/detail.action?docID=6637498</t>
  </si>
  <si>
    <t>AntikeTexteundihreMaterialität : AlltäglichePräsenz,medialeSemantik,literarischeReflexion</t>
  </si>
  <si>
    <t>Ritter-Schmalz, Cornelia;Schwitter, Raphael</t>
  </si>
  <si>
    <t>https://ebookcentral.proquest.com/lib/iuavit/detail.action?docID=6637504</t>
  </si>
  <si>
    <t>Sceptical Paths : Enquiry and Doubt from Antiquity to the Present</t>
  </si>
  <si>
    <t>Veltri, Giuseppe;Haliva, Racheli;Schmid, Stephan;Spinelli, Emidio</t>
  </si>
  <si>
    <t>https://ebookcentral.proquest.com/lib/iuavit/detail.action?docID=6637506</t>
  </si>
  <si>
    <t>Tracing the Jerusalem Code : Volume 2: the Chosen People Christian Cultures in Early Modern Scandinavia (1536-Ca. 1750)</t>
  </si>
  <si>
    <t>Oftestad, Eivor Andersen;Haga, Joar</t>
  </si>
  <si>
    <t>https://ebookcentral.proquest.com/lib/iuavit/detail.action?docID=6637510</t>
  </si>
  <si>
    <t>Die Reihe Merz 1923-1932</t>
  </si>
  <si>
    <t>Schwitters, Kurt;Kocher, Ursula;Schulz, Isabel;Sprengel Museum Hannover, Sprengel Museum</t>
  </si>
  <si>
    <t>https://ebookcentral.proquest.com/lib/iuavit/detail.action?docID=6637512</t>
  </si>
  <si>
    <t>Ringstraße Ist überall : Texte über Architektur und Stadt</t>
  </si>
  <si>
    <t>Kühn, Christian</t>
  </si>
  <si>
    <t>https://ebookcentral.proquest.com/lib/iuavit/detail.action?docID=6637515</t>
  </si>
  <si>
    <t>Annotations in Scholarly Editions and Research : Functions, Differentiation, Systematization</t>
  </si>
  <si>
    <t>Nantke, Julia;Schlupkothen, Frederik</t>
  </si>
  <si>
    <t>https://ebookcentral.proquest.com/lib/iuavit/detail.action?docID=6637519</t>
  </si>
  <si>
    <t>Primary Sources and Asian Pasts</t>
  </si>
  <si>
    <t>Bisschop, Peter C.;Cecil, Elizabeth A.</t>
  </si>
  <si>
    <t>https://ebookcentral.proquest.com/lib/iuavit/detail.action?docID=6637521</t>
  </si>
  <si>
    <t>Goethe's Faust and the Divan Of Ḥāfiẓ : Body and Soul in Pursuit of Knowledge and Beauty</t>
  </si>
  <si>
    <t>Michaeli, Hiwa</t>
  </si>
  <si>
    <t>https://ebookcentral.proquest.com/lib/iuavit/detail.action?docID=6637524</t>
  </si>
  <si>
    <t>Cultural Techniques : Assembling Spaces, Texts and Collectives</t>
  </si>
  <si>
    <t>Dünne, Jörg;Fehringer, Kathrin;Kuhn, Kristina;Struck, Wolfgang</t>
  </si>
  <si>
    <t>Social Science; Science: General</t>
  </si>
  <si>
    <t>https://ebookcentral.proquest.com/lib/iuavit/detail.action?docID=6637526</t>
  </si>
  <si>
    <t>Schauplatz Archiv : Objekt - Narrativ - Performanz</t>
  </si>
  <si>
    <t>Kastberger, Klaus;Maurer, Stefan;Neuhuber, Christian</t>
  </si>
  <si>
    <t>https://ebookcentral.proquest.com/lib/iuavit/detail.action?docID=6637527</t>
  </si>
  <si>
    <t>Virtuelle Lebenswelten : Körper - Räume - Affekte</t>
  </si>
  <si>
    <t>Rieger, Stefan;Schäfer, Armin;Tuschling, Anna</t>
  </si>
  <si>
    <t>https://ebookcentral.proquest.com/lib/iuavit/detail.action?docID=6637528</t>
  </si>
  <si>
    <t>The Wise Merchant</t>
  </si>
  <si>
    <t>Barlaeus;Post, Anna-Luna;Vermeulen, Corinna</t>
  </si>
  <si>
    <t>650.071/1</t>
  </si>
  <si>
    <t>https://ebookcentral.proquest.com/lib/iuavit/detail.action?docID=6637529</t>
  </si>
  <si>
    <t>Grüne Sonnen: Poetik und Politik der Fantasy Am Medium Videospiel</t>
  </si>
  <si>
    <t>Illger, Daniel</t>
  </si>
  <si>
    <t>https://ebookcentral.proquest.com/lib/iuavit/detail.action?docID=6637532</t>
  </si>
  <si>
    <t>Being Profiled:cogitas Ergo Sum : 10 Years of Profiling the European Citizen</t>
  </si>
  <si>
    <t>Bayamlioglu, Emre;Baraliuc, Irina;Janssens, Liisa Albertha Wilhelmina;Hildebrandt, Mireille</t>
  </si>
  <si>
    <t>https://ebookcentral.proquest.com/lib/iuavit/detail.action?docID=6637533</t>
  </si>
  <si>
    <t>A Buddhist Ritual Manual on Agriculture : Vajratuṇḍasamayakalparāja - Critical Edition</t>
  </si>
  <si>
    <t>Hidas, Gergely</t>
  </si>
  <si>
    <t>https://ebookcentral.proquest.com/lib/iuavit/detail.action?docID=6637537</t>
  </si>
  <si>
    <t>Masora und Exegese : Untersuchungen Zur Masora und Bibeltextüberlieferung Im Kommentar des R. Schlomo Ben Yitzchaq (Raschi)</t>
  </si>
  <si>
    <t>Petzold, Kay Joe</t>
  </si>
  <si>
    <t>https://ebookcentral.proquest.com/lib/iuavit/detail.action?docID=6637538</t>
  </si>
  <si>
    <t>Reflektierte Algorithmische Textanalyse : Interdisziplinäre(s) Arbeiten in der CRETA-Werkstatt</t>
  </si>
  <si>
    <t>Reiter, Nils;Pichler, Axel;Kuhn, Jonas</t>
  </si>
  <si>
    <t>https://ebookcentral.proquest.com/lib/iuavit/detail.action?docID=6637539</t>
  </si>
  <si>
    <t>Wie Wird Weltliteratur Gemacht? : Globale Zirkulationen Lateinamerikanischer Literaturen</t>
  </si>
  <si>
    <t>https://ebookcentral.proquest.com/lib/iuavit/detail.action?docID=6637541</t>
  </si>
  <si>
    <t>Paradigmas y Polifuncionalidad : Estudio Diacrónico de «preciso»/«precisamente», «justo»/«justamente», «exacto»/«exactamente» Y «cabal»/«cabalmente»</t>
  </si>
  <si>
    <t>Gerhalter, Katharina</t>
  </si>
  <si>
    <t>https://ebookcentral.proquest.com/lib/iuavit/detail.action?docID=6637544</t>
  </si>
  <si>
    <t>Digital Classical Philology : Ancient Greek and Latin in the Digital Revolution</t>
  </si>
  <si>
    <t>Berti, Monica</t>
  </si>
  <si>
    <t>https://ebookcentral.proquest.com/lib/iuavit/detail.action?docID=6637545</t>
  </si>
  <si>
    <t>Bertel Thorvaldsen - Celebrity : Visualisierungen Eines Künstlerkults Im Frühen 19. Jahrhundert</t>
  </si>
  <si>
    <t>Schindler, Tabea</t>
  </si>
  <si>
    <t>https://ebookcentral.proquest.com/lib/iuavit/detail.action?docID=6637546</t>
  </si>
  <si>
    <t>Frontier Tibet : Patterns of Change in the Sino-Tibetan Borderlands</t>
  </si>
  <si>
    <t>Gros, Stéphane;Schendel, Willem;Harris, Tina</t>
  </si>
  <si>
    <t>Political Science; History; Social Science</t>
  </si>
  <si>
    <t>https://ebookcentral.proquest.com/lib/iuavit/detail.action?docID=6637548</t>
  </si>
  <si>
    <t>Bewertungsinteraktionen in der Theaterpause : Eine Gesprächsanalytische Untersuchung Von Pausengesprächen Im Theaterfoyer</t>
  </si>
  <si>
    <t>Hrncal, Christine</t>
  </si>
  <si>
    <t>https://ebookcentral.proquest.com/lib/iuavit/detail.action?docID=6637551</t>
  </si>
  <si>
    <t>Littérature Française et Savoirs Biologiques Au XIXe Siècle : Traduction, Transmission, Transposition</t>
  </si>
  <si>
    <t>Klinkert, Thomas;Séginger, Gisèle</t>
  </si>
  <si>
    <t>https://ebookcentral.proquest.com/lib/iuavit/detail.action?docID=6637552</t>
  </si>
  <si>
    <t>Terrorizing Images : Trauma and Ekphrasis in Contemporary Literature</t>
  </si>
  <si>
    <t>Armstrong, Charles Ivan;Langas, Unni</t>
  </si>
  <si>
    <t>https://ebookcentral.proquest.com/lib/iuavit/detail.action?docID=6637554</t>
  </si>
  <si>
    <t>Fictionalizing Heterodoxy : Various Uses of Knowledge in the Spanish World from the Archpriest of Hita to Mateo Alemán</t>
  </si>
  <si>
    <t>Gernert, Folke</t>
  </si>
  <si>
    <t>https://ebookcentral.proquest.com/lib/iuavit/detail.action?docID=6637557</t>
  </si>
  <si>
    <t>Jews and Protestants : From the Reformation to the Present</t>
  </si>
  <si>
    <t>Aue-Ben David, Irene;Elyada, Aya;Sluhovsky, Moshe;Wiese, Christian</t>
  </si>
  <si>
    <t>https://ebookcentral.proquest.com/lib/iuavit/detail.action?docID=6637560</t>
  </si>
  <si>
    <t>Abraham Abulafia's Esotericism : Secrets and Doubts</t>
  </si>
  <si>
    <t>Idel, Moshe</t>
  </si>
  <si>
    <t>https://ebookcentral.proquest.com/lib/iuavit/detail.action?docID=6637561</t>
  </si>
  <si>
    <t>Inscriptions of the Aulikaras and Their Associates</t>
  </si>
  <si>
    <t>Balogh, Dániel</t>
  </si>
  <si>
    <t>https://ebookcentral.proquest.com/lib/iuavit/detail.action?docID=6637564</t>
  </si>
  <si>
    <t>Schweizerdeutsch und Sprachbewusstsein : Zur Konsolidierung der Deutschschweizer Diglossie Im 19. Jahrhundert</t>
  </si>
  <si>
    <t>Ruoss, Emanuel</t>
  </si>
  <si>
    <t>https://ebookcentral.proquest.com/lib/iuavit/detail.action?docID=6637567</t>
  </si>
  <si>
    <t>Disseminating Jewish Literatures : Knowledge, Research, Curricula</t>
  </si>
  <si>
    <t>Zepp, Susanne;Fine, Ruth;Gordinsky, Natasha;Konuk, Kader;Olk, Claudia;Shahar, Galili</t>
  </si>
  <si>
    <t>https://ebookcentral.proquest.com/lib/iuavit/detail.action?docID=6637569</t>
  </si>
  <si>
    <t>Leeuwenhoek's Legatees and Beijerinck's Beneficiaries : A History of Medical Virology in the Netherlands</t>
  </si>
  <si>
    <t>Doornum, Gerard;Helvoort, Ton;Sankaran, Neeraja</t>
  </si>
  <si>
    <t>https://ebookcentral.proquest.com/lib/iuavit/detail.action?docID=6637572</t>
  </si>
  <si>
    <t>Horizontal Learning in the High Middle Ages : Peer-To-Peer Knowledge Transfer in Religious Communities</t>
  </si>
  <si>
    <t>Long, Micol;Snijders, Tjamke;Vanderputten, Steven</t>
  </si>
  <si>
    <t>Language/Linguistics; History; Education</t>
  </si>
  <si>
    <t>https://ebookcentral.proquest.com/lib/iuavit/detail.action?docID=6637575</t>
  </si>
  <si>
    <t>Heilige und Heiden Im Legendarischen Erzählen des 13. Jahrhunderts : Formen und Funktionen der Aushandlung des Religiösen Gegensatzes Zum Heidentum</t>
  </si>
  <si>
    <t>Prautzsch, Felix</t>
  </si>
  <si>
    <t>https://ebookcentral.proquest.com/lib/iuavit/detail.action?docID=6637576</t>
  </si>
  <si>
    <t>New Cosmopolitanisms, Race, and Ethnicity : Cultural Perspectives</t>
  </si>
  <si>
    <t>Luczak, Ewa Barbara;Pochmara, Anna;Dayal, Samir</t>
  </si>
  <si>
    <t>https://ebookcentral.proquest.com/lib/iuavit/detail.action?docID=6637577</t>
  </si>
  <si>
    <t>Volksschauspiele : Genese Einer Kulturgeschichtlichen Formation</t>
  </si>
  <si>
    <t>Bernhart, Toni</t>
  </si>
  <si>
    <t>https://ebookcentral.proquest.com/lib/iuavit/detail.action?docID=6637578</t>
  </si>
  <si>
    <t>Was Sprach der eine Zum Anderen? : Argumentationsformen in Den Sumerischen Rangstreitgesprächen</t>
  </si>
  <si>
    <t>Mittermayer, Catherine</t>
  </si>
  <si>
    <t>https://ebookcentral.proquest.com/lib/iuavit/detail.action?docID=6637579</t>
  </si>
  <si>
    <t>Seneca the Elder and His Rediscovered Historiae Ab Initio Bellorum Civilium : New Perspectives on Early-Imperial Roman Historiography</t>
  </si>
  <si>
    <t>Language/Linguistics; History; Literature</t>
  </si>
  <si>
    <t>https://ebookcentral.proquest.com/lib/iuavit/detail.action?docID=6637580</t>
  </si>
  <si>
    <t>Nobelpreisträgerinnen : 14 Schriftstellerinnen Im Porträt</t>
  </si>
  <si>
    <t>Olk, Claudia;Zepp, Susanne</t>
  </si>
  <si>
    <t>https://ebookcentral.proquest.com/lib/iuavit/detail.action?docID=6637581</t>
  </si>
  <si>
    <t>Ort und Zeit : Filmische Heterotopien Von Hochbaum Bis Tykwer</t>
  </si>
  <si>
    <t>Wedel, Michael</t>
  </si>
  <si>
    <t>https://ebookcentral.proquest.com/lib/iuavit/detail.action?docID=6637585</t>
  </si>
  <si>
    <t>Jalkut Schimoni Zum Zwölfprophetenbuch : Übersetzung und Kommentar</t>
  </si>
  <si>
    <t>Marx, Farina</t>
  </si>
  <si>
    <t>https://ebookcentral.proquest.com/lib/iuavit/detail.action?docID=6637586</t>
  </si>
  <si>
    <t>Writing Beyond Pen and Parchment : Inscribed Objects in Medieval European Literature</t>
  </si>
  <si>
    <t>Wagner, Ricarda;Neufeld, Christine;Lieb, Ludger</t>
  </si>
  <si>
    <t>https://ebookcentral.proquest.com/lib/iuavit/detail.action?docID=6637588</t>
  </si>
  <si>
    <t>Gesammelte Aufsätze Zur Altfranzösischen Epik</t>
  </si>
  <si>
    <t>Beckmann, Gustav Adolf</t>
  </si>
  <si>
    <t>https://ebookcentral.proquest.com/lib/iuavit/detail.action?docID=6637589</t>
  </si>
  <si>
    <t>Ghosts of Transparency : Shadows Cast and Shadows Cast Out</t>
  </si>
  <si>
    <t>Doyle, Michael R.;Savić, Selena;Bühlmann, Vera</t>
  </si>
  <si>
    <t>https://ebookcentral.proquest.com/lib/iuavit/detail.action?docID=6637590</t>
  </si>
  <si>
    <t>Deutsche und Italienische Besatzung Im Unabhängigen Staat Kroatien : 1941 Bis 1943/45</t>
  </si>
  <si>
    <t>Schmid, Sanela</t>
  </si>
  <si>
    <t>https://ebookcentral.proquest.com/lib/iuavit/detail.action?docID=6637592</t>
  </si>
  <si>
    <t>Sprach-Spiel-Kunst : Ein Dialog Zwischen Wissenschaft und Praxis</t>
  </si>
  <si>
    <t>Winter-Froemel, Esme</t>
  </si>
  <si>
    <t>https://ebookcentral.proquest.com/lib/iuavit/detail.action?docID=6637594</t>
  </si>
  <si>
    <t>Canones: the Art of Harmony : The Canon Tables of the Four Gospels</t>
  </si>
  <si>
    <t>Bausi, Alessandro;Reudenbach, Bruno;Wimmer, Hanna</t>
  </si>
  <si>
    <t>https://ebookcentral.proquest.com/lib/iuavit/detail.action?docID=6637597</t>
  </si>
  <si>
    <t>Futures of the Study of Culture : Interdisciplinary Perspectives, Global Challenges</t>
  </si>
  <si>
    <t>Bachmann-Medick, Doris;Kugele, Jens;Nünning, Ansgar</t>
  </si>
  <si>
    <t>https://ebookcentral.proquest.com/lib/iuavit/detail.action?docID=6637598</t>
  </si>
  <si>
    <t>The Power of Urban Water : Studies in Premodern Urbanism</t>
  </si>
  <si>
    <t>Chiarenza, Nicola;Haug, Annette;Müller, Ulrich</t>
  </si>
  <si>
    <t>307.1/2160902</t>
  </si>
  <si>
    <t>https://ebookcentral.proquest.com/lib/iuavit/detail.action?docID=6637599</t>
  </si>
  <si>
    <t>Historische Gärten und Klimawandel : Eine Aufgabe Für Gartendenkmalpflege, Wissenschaft und Gesellschaft</t>
  </si>
  <si>
    <t>Hüttl, Reinhard F.;David, Karen;Schneider, Bernd Uwe</t>
  </si>
  <si>
    <t>https://ebookcentral.proquest.com/lib/iuavit/detail.action?docID=6637601</t>
  </si>
  <si>
    <t>Weissbuch Gastroenterologie 2020/2021 : Erkrankungen des Magen-Darm-Traktes, der Leber und der Bauchspeicheldrüse - Gegenwart und Zukunft</t>
  </si>
  <si>
    <t>Lammert, Frank;Lynen Jansen, Petra;Lerch, Markus M.</t>
  </si>
  <si>
    <t>https://ebookcentral.proquest.com/lib/iuavit/detail.action?docID=6637603</t>
  </si>
  <si>
    <t>Dress and Cultural Difference in Early Modern Europe</t>
  </si>
  <si>
    <t>Aust, Cornelia;Klein, Denise;Weller, Thomas</t>
  </si>
  <si>
    <t>https://ebookcentral.proquest.com/lib/iuavit/detail.action?docID=6637604</t>
  </si>
  <si>
    <t>Topografien des 20. Jahrhunderts : Die Memoriale Poetik des Stolperns in Haroldo de Campos' «Galáxias»</t>
  </si>
  <si>
    <t>Wrobel, Jasmin</t>
  </si>
  <si>
    <t>https://ebookcentral.proquest.com/lib/iuavit/detail.action?docID=6637607</t>
  </si>
  <si>
    <t>Offshoring of White-Collar Services : Business and Economic Perspective</t>
  </si>
  <si>
    <t>Klimek, Artur</t>
  </si>
  <si>
    <t>https://ebookcentral.proquest.com/lib/iuavit/detail.action?docID=6637610</t>
  </si>
  <si>
    <t>Frei, Fair und Lebendig - Die Macht der Commons</t>
  </si>
  <si>
    <t>Transcript Verlag</t>
  </si>
  <si>
    <t>Helfrich, Silke;Bollier, David</t>
  </si>
  <si>
    <t>https://ebookcentral.proquest.com/lib/iuavit/detail.action?docID=6637611</t>
  </si>
  <si>
    <t>Augmented Spaces and Maps : Das Design Von Kartenbasierten Interfaces</t>
  </si>
  <si>
    <t>Schranz, Christine</t>
  </si>
  <si>
    <t>https://ebookcentral.proquest.com/lib/iuavit/detail.action?docID=6637617</t>
  </si>
  <si>
    <t>Competing Knowledges - Wissen Im Widerstreit</t>
  </si>
  <si>
    <t>Horatschek, Anna-Margaretha</t>
  </si>
  <si>
    <t>https://ebookcentral.proquest.com/lib/iuavit/detail.action?docID=6637618</t>
  </si>
  <si>
    <t>Literarische Wissenschaftsgeschichte und Wissenschaftstheorie : Kehlmann - Del Giudice - Serres</t>
  </si>
  <si>
    <t>Malinowski, Bernadette</t>
  </si>
  <si>
    <t>Science: General; Literature</t>
  </si>
  <si>
    <t>https://ebookcentral.proquest.com/lib/iuavit/detail.action?docID=6637621</t>
  </si>
  <si>
    <t>La Représentation du Discours Autre : Principes Pour une Description</t>
  </si>
  <si>
    <t>Authier-Revuz, Jacqueline</t>
  </si>
  <si>
    <t>https://ebookcentral.proquest.com/lib/iuavit/detail.action?docID=6637624</t>
  </si>
  <si>
    <t>Traduire Cicéron Au XVe Siècle - le Livre des Offices d'Anjourrant Bourré</t>
  </si>
  <si>
    <t>Delsaux, Olivier</t>
  </si>
  <si>
    <t>PA6296.D5D45 2019</t>
  </si>
  <si>
    <t>https://ebookcentral.proquest.com/lib/iuavit/detail.action?docID=6637625</t>
  </si>
  <si>
    <t>Transregional and Regional Elites - Connecting the Early Islamic Empire</t>
  </si>
  <si>
    <t>Hagemann, Hannah-Lena;Heidemann, Stefan</t>
  </si>
  <si>
    <t>https://ebookcentral.proquest.com/lib/iuavit/detail.action?docID=6637628</t>
  </si>
  <si>
    <t>Living Standards in Southeast Asia : Changes over the Long Twentieth Century, 1900-2015</t>
  </si>
  <si>
    <t>Booth, Anne</t>
  </si>
  <si>
    <t>Political Science; Social Science; History</t>
  </si>
  <si>
    <t>https://ebookcentral.proquest.com/lib/iuavit/detail.action?docID=6637630</t>
  </si>
  <si>
    <t>Boredom, Shanzhai, and Digitisation in the Time of Creative China</t>
  </si>
  <si>
    <t>Kloet, Jeroen;Chow, Yiu Fai;Scheen, Lena</t>
  </si>
  <si>
    <t>Business/Management; Engineering: Manufacturing; Fine Arts</t>
  </si>
  <si>
    <t>https://ebookcentral.proquest.com/lib/iuavit/detail.action?docID=6637631</t>
  </si>
  <si>
    <t>The Epoch of Universalism 1769-1989 / l'époque de L'universalisme 1769-1989</t>
  </si>
  <si>
    <t>Hofmann, Franck;Messling, Markus</t>
  </si>
  <si>
    <t>https://ebookcentral.proquest.com/lib/iuavit/detail.action?docID=6637635</t>
  </si>
  <si>
    <t>The Summa Halensis : Doctrines and Debates</t>
  </si>
  <si>
    <t>Schumacher, Lydia</t>
  </si>
  <si>
    <t>History; Literature; Religion</t>
  </si>
  <si>
    <t>https://ebookcentral.proquest.com/lib/iuavit/detail.action?docID=6637636</t>
  </si>
  <si>
    <t>World Literature, Cosmopolitanism, Globality : Beyond, Against, Post, Otherwise</t>
  </si>
  <si>
    <t>Müller, Gesine;Siskind, Mariano</t>
  </si>
  <si>
    <t>https://ebookcentral.proquest.com/lib/iuavit/detail.action?docID=6637638</t>
  </si>
  <si>
    <t>Literary Culture in Early Modern England, 1630-1700 : Angles of Contingency</t>
  </si>
  <si>
    <t>Berensmeyer, Ingo</t>
  </si>
  <si>
    <t>https://ebookcentral.proquest.com/lib/iuavit/detail.action?docID=6637639</t>
  </si>
  <si>
    <t>La Interfaz Sintaxis-Pragmática : Estudios Teóricos, Descriptivos y Experimentales</t>
  </si>
  <si>
    <t>Belloro, Valeria A.</t>
  </si>
  <si>
    <t>https://ebookcentral.proquest.com/lib/iuavit/detail.action?docID=6637641</t>
  </si>
  <si>
    <t>Tracing the Jerusalem Code : Volume 1: the Holy City Christian Cultures in Medieval Scandinavia (ca. 1100-1536)</t>
  </si>
  <si>
    <t>Aavitsland, Kristin B.;Bonde, Line M.</t>
  </si>
  <si>
    <t>https://ebookcentral.proquest.com/lib/iuavit/detail.action?docID=6637646</t>
  </si>
  <si>
    <t>Reigen : Historisch-Kritische Ausgabe</t>
  </si>
  <si>
    <t>Rauchenbacher, Marina;Fliedl, Konstanze</t>
  </si>
  <si>
    <t>https://ebookcentral.proquest.com/lib/iuavit/detail.action?docID=6637647</t>
  </si>
  <si>
    <t>Kingship and Polity on the Himalayan Borderland : Rajput Identity During the Early Colonial Encounter</t>
  </si>
  <si>
    <t>Moran, Arik;Schendel, Willem;Harris, Tina</t>
  </si>
  <si>
    <t>https://ebookcentral.proquest.com/lib/iuavit/detail.action?docID=6637648</t>
  </si>
  <si>
    <t>Verfestigungen in der Interaktion : Konstruktionen, Sequenzielle Muster, Kommunikative Gattungen</t>
  </si>
  <si>
    <t>Weidner, Beate;König, Katharina;Imo, Wolfgang;Wegner, Lars</t>
  </si>
  <si>
    <t>https://ebookcentral.proquest.com/lib/iuavit/detail.action?docID=6637652</t>
  </si>
  <si>
    <t>Sollbruchstellen des Deutschen, Europäischen und Internationalen Flüchtlingsrechts</t>
  </si>
  <si>
    <t>Thym, Daniel</t>
  </si>
  <si>
    <t>https://ebookcentral.proquest.com/lib/iuavit/detail.action?docID=6637653</t>
  </si>
  <si>
    <t>Studying Film with André Bazin</t>
  </si>
  <si>
    <t>Joret, Blandine</t>
  </si>
  <si>
    <t>Fine Arts; Philosophy</t>
  </si>
  <si>
    <t>https://ebookcentral.proquest.com/lib/iuavit/detail.action?docID=6637654</t>
  </si>
  <si>
    <t>Religiöse Individualisierung in Historischer Perspektive / Religious Individualisation in Historical Perspective : Abschlussbericht Für Die Zweite Förderphase der Kolleg-Forschungsgruppe 1013/Final Report of the Kolleg-Forschungsgruppe 1013 for the Second Funding Period 2013-2018</t>
  </si>
  <si>
    <t>Suitner, Riccarda;Mulsow, Martin;Rüpke, Jörg</t>
  </si>
  <si>
    <t>https://ebookcentral.proquest.com/lib/iuavit/detail.action?docID=6637655</t>
  </si>
  <si>
    <t>Paulus Als Erzähler? : Eine Narratologische Perspektive Auf Die Paulusbriefe</t>
  </si>
  <si>
    <t>Heilig, Christoph</t>
  </si>
  <si>
    <t>https://ebookcentral.proquest.com/lib/iuavit/detail.action?docID=6637656</t>
  </si>
  <si>
    <t>Confini, Identità, Appartenenze : Scenari Letterari e Filmici Dell'Alpe Adria</t>
  </si>
  <si>
    <t>Fabris, Angela;Caliaro, Ilvano</t>
  </si>
  <si>
    <t>https://ebookcentral.proquest.com/lib/iuavit/detail.action?docID=6637661</t>
  </si>
  <si>
    <t>Applications</t>
  </si>
  <si>
    <t>https://ebookcentral.proquest.com/lib/iuavit/detail.action?docID=6637667</t>
  </si>
  <si>
    <t>Die Graphematik der Morpheme Im Deutschen und Englischen</t>
  </si>
  <si>
    <t>Berg, Kristian</t>
  </si>
  <si>
    <t>https://ebookcentral.proquest.com/lib/iuavit/detail.action?docID=6637670</t>
  </si>
  <si>
    <t>Geistliche Liederdichter Zwischen Liturgie und Volkssprache : Übertragungen, Bearbeitungen, Neuschöpfungen in Mittelalter und Früher Neuzeit</t>
  </si>
  <si>
    <t>Kraß, Andreas;Standke, Matthias</t>
  </si>
  <si>
    <t>https://ebookcentral.proquest.com/lib/iuavit/detail.action?docID=6637675</t>
  </si>
  <si>
    <t>The Summa Halensis : Sources and Context</t>
  </si>
  <si>
    <t>Literature; History; Religion</t>
  </si>
  <si>
    <t>https://ebookcentral.proquest.com/lib/iuavit/detail.action?docID=6637676</t>
  </si>
  <si>
    <t>Beijing Garbage : A City Besieged by Waste</t>
  </si>
  <si>
    <t>Landsberger, Stefan</t>
  </si>
  <si>
    <t>363.72/80951156</t>
  </si>
  <si>
    <t>https://ebookcentral.proquest.com/lib/iuavit/detail.action?docID=6637677</t>
  </si>
  <si>
    <t>La Fine Del Mondo Nel de Rerum Natura Di Lucrezio</t>
  </si>
  <si>
    <t>Galzerano, Manuel</t>
  </si>
  <si>
    <t>https://ebookcentral.proquest.com/lib/iuavit/detail.action?docID=6637678</t>
  </si>
  <si>
    <t>Engines of Order : A Mechanology of Algorithmic Techniques</t>
  </si>
  <si>
    <t>Rieder, Bernhard</t>
  </si>
  <si>
    <t>https://ebookcentral.proquest.com/lib/iuavit/detail.action?docID=6637679</t>
  </si>
  <si>
    <t>Die Inschriften Zu Den Ludi Saeculares : Acta Ludorum Saecularium</t>
  </si>
  <si>
    <t>Schnegg, Bärbel;Chausson, François;Schneider-Lastin, Wolfram</t>
  </si>
  <si>
    <t>https://ebookcentral.proquest.com/lib/iuavit/detail.action?docID=6637682</t>
  </si>
  <si>
    <t>Data Loam : Sometimes Hard, Usually Soft. the Future of Knowledge Systems</t>
  </si>
  <si>
    <t>Golding, Johnny;Reinhart, Martin;Paganelli, Mattia</t>
  </si>
  <si>
    <t>700.9/05</t>
  </si>
  <si>
    <t>https://ebookcentral.proquest.com/lib/iuavit/detail.action?docID=6637685</t>
  </si>
  <si>
    <t>Complex Lexical Units : Compounds and Multi-Word Expressions</t>
  </si>
  <si>
    <t>Schlücker, Barbara</t>
  </si>
  <si>
    <t>https://ebookcentral.proquest.com/lib/iuavit/detail.action?docID=6637687</t>
  </si>
  <si>
    <t>Discourse on the State of the Jews : Bilingual Edition</t>
  </si>
  <si>
    <t>Luzzatto, Simone;Veltri, Giuseppe;Lissa, Anna</t>
  </si>
  <si>
    <t>DS135.I85</t>
  </si>
  <si>
    <t>https://ebookcentral.proquest.com/lib/iuavit/detail.action?docID=6637694</t>
  </si>
  <si>
    <t>Tracing the Jerusalem Code : Volume 3: the Promised Land Christian Cultures in Modern Scandinavia (ca. 1750-Ca. 1920)</t>
  </si>
  <si>
    <t>Zorgati, Ragnhild Johnsrud;Bohlin, Anna</t>
  </si>
  <si>
    <t>https://ebookcentral.proquest.com/lib/iuavit/detail.action?docID=6637695</t>
  </si>
  <si>
    <t>Handbook of Ancient Afro-Eurasian Economies : Volume 1: Contexts</t>
  </si>
  <si>
    <t>Reden, Sitta;Dwivedi, Mamta;Fabian, Lara;Leese-Messing, Kathrin;Morris, Lauren;Weaverdyck, Eli J. S.</t>
  </si>
  <si>
    <t>https://ebookcentral.proquest.com/lib/iuavit/detail.action?docID=6637696</t>
  </si>
  <si>
    <t>Ost-Westliche Erfahrungen der Modernität : Der Chinesisch-Deutsche Ideenaustausch und Die Bewegung des 4. Mai 1919</t>
  </si>
  <si>
    <t>Jaeger, Michael;Mao, Mingchao;Langer, Benjamin</t>
  </si>
  <si>
    <t>951.04/1</t>
  </si>
  <si>
    <t>https://ebookcentral.proquest.com/lib/iuavit/detail.action?docID=6637697</t>
  </si>
  <si>
    <t>Wahrnehmen, Fühlen, Verstehen : Metaphorisieren und Audiovisuelle Bilder</t>
  </si>
  <si>
    <t>Schmitt, Christina</t>
  </si>
  <si>
    <t>https://ebookcentral.proquest.com/lib/iuavit/detail.action?docID=6637699</t>
  </si>
  <si>
    <t>Syntax of Dutch : Coordination and Ellipsis</t>
  </si>
  <si>
    <t>Broekhuis, Hans;Corver, Norbert</t>
  </si>
  <si>
    <t>https://ebookcentral.proquest.com/lib/iuavit/detail.action?docID=6637704</t>
  </si>
  <si>
    <t>Agents' Abilities</t>
  </si>
  <si>
    <t>Jaster, Romy</t>
  </si>
  <si>
    <t>https://ebookcentral.proquest.com/lib/iuavit/detail.action?docID=6637705</t>
  </si>
  <si>
    <t>https://ebookcentral.proquest.com/lib/iuavit/detail.action?docID=6637707</t>
  </si>
  <si>
    <t>Genocide and Mass Violence in Asia : An Introductory Reader</t>
  </si>
  <si>
    <t>Jacob, Frank</t>
  </si>
  <si>
    <t>364.15/1095</t>
  </si>
  <si>
    <t>https://ebookcentral.proquest.com/lib/iuavit/detail.action?docID=6637708</t>
  </si>
  <si>
    <t>Body and Spirit in the Middle Ages : Literature, Philosophy, Medicine</t>
  </si>
  <si>
    <t>Gubbini, Gaia</t>
  </si>
  <si>
    <t>https://ebookcentral.proquest.com/lib/iuavit/detail.action?docID=6637709</t>
  </si>
  <si>
    <t>The International Labour Organization : 100 Years of Global Social Policy</t>
  </si>
  <si>
    <t>Maul, Daniel</t>
  </si>
  <si>
    <t>331.06/01</t>
  </si>
  <si>
    <t>https://ebookcentral.proquest.com/lib/iuavit/detail.action?docID=6637710</t>
  </si>
  <si>
    <t>HORACE's SERMONES BOOK 1 : Credentials for Maecenas</t>
  </si>
  <si>
    <t>Religion; Social Science; History</t>
  </si>
  <si>
    <t>https://ebookcentral.proquest.com/lib/iuavit/detail.action?docID=6637711</t>
  </si>
  <si>
    <t>The Hirsch Institute of Tropical Medicine : Asella, Äthiopien</t>
  </si>
  <si>
    <t>https://ebookcentral.proquest.com/lib/iuavit/detail.action?docID=6637712</t>
  </si>
  <si>
    <t>Judah Halevi's Fideistic Scepticism in the Kuzari</t>
  </si>
  <si>
    <t>Krinis, Ehud</t>
  </si>
  <si>
    <t>History; Language/Linguistics; Religion</t>
  </si>
  <si>
    <t>https://ebookcentral.proquest.com/lib/iuavit/detail.action?docID=6637716</t>
  </si>
  <si>
    <t>Franz Brentano und Sein Philosophischer Nachlass</t>
  </si>
  <si>
    <t>Binder, Thomas</t>
  </si>
  <si>
    <t>https://ebookcentral.proquest.com/lib/iuavit/detail.action?docID=6637723</t>
  </si>
  <si>
    <t>Internationale Gerechtigkeit und Institutionelle Verantwortung</t>
  </si>
  <si>
    <t>Nida-Rümelin, Julian;Daniels, Detlef;Wloka, Nicole</t>
  </si>
  <si>
    <t>https://ebookcentral.proquest.com/lib/iuavit/detail.action?docID=6637728</t>
  </si>
  <si>
    <t>Excavations at Paithan, Maharashtra : Transformations in Early Historic and Early Medieval India</t>
  </si>
  <si>
    <t>Kennet, Derek;Rao, J. Varaprasada;Bai, M. Kasturi</t>
  </si>
  <si>
    <t>https://ebookcentral.proquest.com/lib/iuavit/detail.action?docID=6637729</t>
  </si>
  <si>
    <t>Tractatus Mythologicus : Theorie und Methodik Zur Erforschung Von Mythen Als Grundlegung Einer Allgemeinen, Transmedialen und Komparatistischen Stoffwissenschaft</t>
  </si>
  <si>
    <t>Zgoll, Christian</t>
  </si>
  <si>
    <t>https://ebookcentral.proquest.com/lib/iuavit/detail.action?docID=6637732</t>
  </si>
  <si>
    <t>Toward a Cognitive Classical Linguistics : The Embodied Basis of Constructions in Greek and Latin</t>
  </si>
  <si>
    <t>Mocciaro, Egle;Short, William Michael (eds. )</t>
  </si>
  <si>
    <t>https://ebookcentral.proquest.com/lib/iuavit/detail.action?docID=6637735</t>
  </si>
  <si>
    <t>Der Grüne Kakadu : Historisch-Kritische Ausgabe</t>
  </si>
  <si>
    <t>Lindner, Anna</t>
  </si>
  <si>
    <t>https://ebookcentral.proquest.com/lib/iuavit/detail.action?docID=6637736</t>
  </si>
  <si>
    <t>Guimarães Rosa und Meyer-Clason : Literatur, Demokratie, ZusammenLebenswissen</t>
  </si>
  <si>
    <t>Ette, Ottmar;Soethe, Paulo Astor</t>
  </si>
  <si>
    <t>https://ebookcentral.proquest.com/lib/iuavit/detail.action?docID=6637740</t>
  </si>
  <si>
    <t>Himmelwärts / das Unbekannte Leben / Mit Dem Kopf Durch Die Wand</t>
  </si>
  <si>
    <t>Streitler-Kastberger, Nicole</t>
  </si>
  <si>
    <t>https://ebookcentral.proquest.com/lib/iuavit/detail.action?docID=6637741</t>
  </si>
  <si>
    <t>Adhesive Bonding of Aircraft Composite Structures : Non-Destructive Testing and Quality Assurance Concepts</t>
  </si>
  <si>
    <t>Leite Cavalcanti, Welchy;Brune, Kai;Noeske, Michael;Tserpes, Konstantinos;Ostachowicz, Wiesław M.;Schlag, Mareike</t>
  </si>
  <si>
    <t>https://ebookcentral.proquest.com/lib/iuavit/detail.action?docID=6637784</t>
  </si>
  <si>
    <t>Novel Plant Imaging and Analysis : Water, Elements and Gas, Utilizing Radiation and Radioisotopes</t>
  </si>
  <si>
    <t>Nakanishi, Tomoko M.</t>
  </si>
  <si>
    <t>QK710-899</t>
  </si>
  <si>
    <t>https://ebookcentral.proquest.com/lib/iuavit/detail.action?docID=6637789</t>
  </si>
  <si>
    <t>Technology, Media Literacy, and the Human Subject : A Posthuman Approach</t>
  </si>
  <si>
    <t>Lewis, Richard S.</t>
  </si>
  <si>
    <t>Social Science; Computer Science/IT; Engineering: Electrical</t>
  </si>
  <si>
    <t>https://ebookcentral.proquest.com/lib/iuavit/detail.action?docID=6638232</t>
  </si>
  <si>
    <t>Lived Nation As the History of Experiences and Emotions in Finland, 1800-2000</t>
  </si>
  <si>
    <t>Kivimäki, Ville;Suodenjoki, Sami;Vahtikari, Tanja</t>
  </si>
  <si>
    <t>https://ebookcentral.proquest.com/lib/iuavit/detail.action?docID=6638830</t>
  </si>
  <si>
    <t>Nachhaltige Stadtentwicklung : Die Umsetzung der Sustainable Development Goals Auf Kommunaler Ebene</t>
  </si>
  <si>
    <t>Koch, Florian;Krellenberg, Kerstin</t>
  </si>
  <si>
    <t>https://ebookcentral.proquest.com/lib/iuavit/detail.action?docID=6639200</t>
  </si>
  <si>
    <t>Risk Quantification and Allocation Methods for Practitioners</t>
  </si>
  <si>
    <t>Belles-Sampera, Jaume;Guillén, Montserrat;Santolino, Miguel</t>
  </si>
  <si>
    <t>https://ebookcentral.proquest.com/lib/iuavit/detail.action?docID=6639843</t>
  </si>
  <si>
    <t>Agile Processes in Software Engineering and Extreme Programming : 22nd International Conference on Agile Software Development, XP 2021, Virtual Event, June 14-18, 2021, Proceedings</t>
  </si>
  <si>
    <t>Gregory, Peggy;Lassenius, Casper;Wang, Xiaofeng;Kruchten, Philippe</t>
  </si>
  <si>
    <t>https://ebookcentral.proquest.com/lib/iuavit/detail.action?docID=6640049</t>
  </si>
  <si>
    <t>The Psychodynamics of Enlightened Leadership : Coping with Chaos</t>
  </si>
  <si>
    <t>Mitroff, Ian I.;Kilmann, Ralph H.</t>
  </si>
  <si>
    <t>https://ebookcentral.proquest.com/lib/iuavit/detail.action?docID=6640074</t>
  </si>
  <si>
    <t>Data Science for Economics and Finance : Methodologies and Applications</t>
  </si>
  <si>
    <t>Consoli, Sergio;Reforgiato Recupero, Diego;Saisana, Michaela</t>
  </si>
  <si>
    <t>QA76.9.D343</t>
  </si>
  <si>
    <t>https://ebookcentral.proquest.com/lib/iuavit/detail.action?docID=6640078</t>
  </si>
  <si>
    <t>Reading Backwards : An Advance Retrospective on Russian Literature</t>
  </si>
  <si>
    <t>Langen, Timothy;Maguire, Muireann</t>
  </si>
  <si>
    <t>PG2925</t>
  </si>
  <si>
    <t>Russian literature. ; Russian literature--History and criticism.</t>
  </si>
  <si>
    <t>https://ebookcentral.proquest.com/lib/iuavit/detail.action?docID=6647696</t>
  </si>
  <si>
    <t>Probability in Electrical Engineering and Computer Science : An Application-Driven Course</t>
  </si>
  <si>
    <t>Walrand, Jean</t>
  </si>
  <si>
    <t>QA76.9.M35</t>
  </si>
  <si>
    <t>https://ebookcentral.proquest.com/lib/iuavit/detail.action?docID=6647753</t>
  </si>
  <si>
    <t>Assessing Environmental Risk of Oil Spills with ERA Acute : A New Methodology</t>
  </si>
  <si>
    <t>Stephansen, Cathrine;Bjørgesæter, Anders;Brude, Odd Willy;Brönner, Ute;Rogstad, Tonje Waterloo;Kjeilen-Eilertsen, Grethe;Libre, Jean-Marie;Collin-Hansen, Christian</t>
  </si>
  <si>
    <t>https://ebookcentral.proquest.com/lib/iuavit/detail.action?docID=6648423</t>
  </si>
  <si>
    <t>Quaternion Algebras</t>
  </si>
  <si>
    <t>Voight, John</t>
  </si>
  <si>
    <t>QA251.5</t>
  </si>
  <si>
    <t>https://ebookcentral.proquest.com/lib/iuavit/detail.action?docID=6652280</t>
  </si>
  <si>
    <t>Saving and Investment in the Twenty-First Century : The Great Divergence</t>
  </si>
  <si>
    <t>von Weizsäcker, Carl Christian;Krämer, Hagen M.</t>
  </si>
  <si>
    <t>https://ebookcentral.proquest.com/lib/iuavit/detail.action?docID=6660156</t>
  </si>
  <si>
    <t>Dying to Count : Post-Abortion Care and Global Reproductive Health Politics in Senegal</t>
  </si>
  <si>
    <t>Suh, Siri</t>
  </si>
  <si>
    <t>Medicine; Social Science; Health</t>
  </si>
  <si>
    <t>RG734</t>
  </si>
  <si>
    <t>https://ebookcentral.proquest.com/lib/iuavit/detail.action?docID=6660239</t>
  </si>
  <si>
    <t>Dekoloniale Politische Bildung : Eine Empirische Untersuchung Von Lernendenvorstellungen Zum Postkolonialen Erbe</t>
  </si>
  <si>
    <t>Kleinschmidt, Malte</t>
  </si>
  <si>
    <t>LC1090-1091</t>
  </si>
  <si>
    <t>https://ebookcentral.proquest.com/lib/iuavit/detail.action?docID=6661645</t>
  </si>
  <si>
    <t>Ten Crises : The Political Economy of China's Development (1949-2020)</t>
  </si>
  <si>
    <t>Wen, Tiejun;Kin Chi, Lau;Tsui, Sit</t>
  </si>
  <si>
    <t>HC94-1085.2</t>
  </si>
  <si>
    <t>https://ebookcentral.proquest.com/lib/iuavit/detail.action?docID=6665443</t>
  </si>
  <si>
    <t>Post-Digital, Post-Internet Art and Education : The Future Is All-Over</t>
  </si>
  <si>
    <t>Tavin, Kevin;Kolb, Gila;Tervo, Juuso</t>
  </si>
  <si>
    <t>https://ebookcentral.proquest.com/lib/iuavit/detail.action?docID=6665457</t>
  </si>
  <si>
    <t>Infektionen und Gesellschaft : COVID-19, Frühere und Zukünftige Herausforderungen Durch Pandemien</t>
  </si>
  <si>
    <t>Lohse, Ansgar W.</t>
  </si>
  <si>
    <t>RA648.5-654</t>
  </si>
  <si>
    <t>https://ebookcentral.proquest.com/lib/iuavit/detail.action?docID=6670331</t>
  </si>
  <si>
    <t>Shared Physical Custody : Interdisciplinary Insights in Child Custody Arrangements</t>
  </si>
  <si>
    <t>https://ebookcentral.proquest.com/lib/iuavit/detail.action?docID=6676589</t>
  </si>
  <si>
    <t>Multimodal Texts in Disciplinary Education : A Comprehensive Framework</t>
  </si>
  <si>
    <t>Danielsson, Kristina;Selander, Staffan</t>
  </si>
  <si>
    <t>https://ebookcentral.proquest.com/lib/iuavit/detail.action?docID=6676590</t>
  </si>
  <si>
    <t>Rethinking Sustainability Towards a Regenerative Economy</t>
  </si>
  <si>
    <t>Andreucci, Maria Beatrice;Marvuglia, Antonino;Baltov, Milen;Hansen, Preben</t>
  </si>
  <si>
    <t>https://ebookcentral.proquest.com/lib/iuavit/detail.action?docID=6676591</t>
  </si>
  <si>
    <t>Shaping an Inclusive Energy Transition</t>
  </si>
  <si>
    <t>Weijnen, Margot P. C.;Lukszo, Zofia;Farahani, Samira</t>
  </si>
  <si>
    <t>https://ebookcentral.proquest.com/lib/iuavit/detail.action?docID=6676592</t>
  </si>
  <si>
    <t>The Elements of Big Data Value : Foundations of the Research and Innovation Ecosystem</t>
  </si>
  <si>
    <t>Curry, Edward;Metzger, Andreas;Zillner, Sonja;Pazzaglia, Jean-Christophe;García Robles, Ana</t>
  </si>
  <si>
    <t>https://ebookcentral.proquest.com/lib/iuavit/detail.action?docID=6676594</t>
  </si>
  <si>
    <t>The Palgrave Handbook of Positive Education</t>
  </si>
  <si>
    <t>Kern, Margaret L.;Wehmeyer, Michael L.</t>
  </si>
  <si>
    <t>BF204.6</t>
  </si>
  <si>
    <t>https://ebookcentral.proquest.com/lib/iuavit/detail.action?docID=6676595</t>
  </si>
  <si>
    <t>Transnational Legal Activism in Global Value Chains : The Ali Enterprises Factory Fire and the Struggle for Justice</t>
  </si>
  <si>
    <t>Saage-Maaß, Miriam;Zumbansen, Peer;Bader, Michael;Shahab, Palvasha</t>
  </si>
  <si>
    <t>https://ebookcentral.proquest.com/lib/iuavit/detail.action?docID=6676596</t>
  </si>
  <si>
    <t>Benefit/Cost-Driven Software Development : With Benefit Points and Size Points</t>
  </si>
  <si>
    <t>Hannay, Jo Erskine</t>
  </si>
  <si>
    <t>QA76.75-76.765</t>
  </si>
  <si>
    <t>https://ebookcentral.proquest.com/lib/iuavit/detail.action?docID=6676597</t>
  </si>
  <si>
    <t>Rethinking Nordic Courts</t>
  </si>
  <si>
    <t>Ervo, Laura;Letto-Vanamo, Pia;Nylund, Anna</t>
  </si>
  <si>
    <t>https://ebookcentral.proquest.com/lib/iuavit/detail.action?docID=6676598</t>
  </si>
  <si>
    <t>Automated Deduction - CADE 28 : 28th International Conference on Automated Deduction, Virtual Event, July 12-15, 2021, Proceedings</t>
  </si>
  <si>
    <t>Platzer, André;Sutcliffe, Geoff</t>
  </si>
  <si>
    <t>https://ebookcentral.proquest.com/lib/iuavit/detail.action?docID=6676599</t>
  </si>
  <si>
    <t>The Once-Only Principle : The TOOP Project</t>
  </si>
  <si>
    <t>Krimmer, Robert;Prentza, Andriana;Mamrot, Szymon</t>
  </si>
  <si>
    <t>https://ebookcentral.proquest.com/lib/iuavit/detail.action?docID=6676600</t>
  </si>
  <si>
    <t>Datensouveränität : Governance-Ansätze Für Den Gesundheitsbereich</t>
  </si>
  <si>
    <t>Hummel, Patrik;Braun, Matthias;Augsberg, Steffen;Ulmenstein, Ulrich von;Dabrock, Peter</t>
  </si>
  <si>
    <t>JF20-2112</t>
  </si>
  <si>
    <t>https://ebookcentral.proquest.com/lib/iuavit/detail.action?docID=6676601</t>
  </si>
  <si>
    <t>Gerechter Frieden : Im Spannungsfeld Zwischen Ziviler Konfliktbearbeitung und Rechtserhaltender Gewalt</t>
  </si>
  <si>
    <t>Werkner, Ines-Jacqueline</t>
  </si>
  <si>
    <t>https://ebookcentral.proquest.com/lib/iuavit/detail.action?docID=6676602</t>
  </si>
  <si>
    <t>Pflege-Report 2021 : Sicherstellung der Pflege: Bedarfslagen und Angebotsstrukturen</t>
  </si>
  <si>
    <t>https://ebookcentral.proquest.com/lib/iuavit/detail.action?docID=6676603</t>
  </si>
  <si>
    <t>Human Cultures Through the Scientific Lens : Essays in Evolutionary Cognitive Anthropology</t>
  </si>
  <si>
    <t>Boyer, Pascal</t>
  </si>
  <si>
    <t>GN502</t>
  </si>
  <si>
    <t>Anthropology. ; Cognition and culture. ; Ethnopsychology.</t>
  </si>
  <si>
    <t>https://ebookcentral.proquest.com/lib/iuavit/detail.action?docID=6676981</t>
  </si>
  <si>
    <t>Measuring Professional Competence for the Teaching of Mathematical Modelling : A Test Instrument</t>
  </si>
  <si>
    <t>Wess, Raphael;Klock, Heiner;Siller, Hans-Stefan;Greefrath, Gilbert</t>
  </si>
  <si>
    <t>https://ebookcentral.proquest.com/lib/iuavit/detail.action?docID=6678416</t>
  </si>
  <si>
    <t>Abschlusspolitische Ergebnisspaltungen Mit Aufgegebenen Geschäftsbereichen Nach IFRS 5 : Existenz und Prävention</t>
  </si>
  <si>
    <t>Czupalla, Kai</t>
  </si>
  <si>
    <t>HF5601-5688</t>
  </si>
  <si>
    <t>https://ebookcentral.proquest.com/lib/iuavit/detail.action?docID=6679204</t>
  </si>
  <si>
    <t>Financing Clean Energy Access in Sub-Saharan Africa : Risk Mitigation Strategies and Innovative Financing Structures</t>
  </si>
  <si>
    <t>Michoud, Bruno;Hafner, Manfred</t>
  </si>
  <si>
    <t>https://ebookcentral.proquest.com/lib/iuavit/detail.action?docID=6679205</t>
  </si>
  <si>
    <t>Computer Aided Verification : 33rd International Conference, CAV 2021, Virtual Event, July 20-23, 2021, Proceedings, Part I</t>
  </si>
  <si>
    <t>Silva, Alexandra;Leino, K. Rustan M.</t>
  </si>
  <si>
    <t>https://ebookcentral.proquest.com/lib/iuavit/detail.action?docID=6679367</t>
  </si>
  <si>
    <t>Computer Aided Verification : 33rd International Conference, CAV 2021, Virtual Event, July 20-23, 2021, Proceedings, Part II</t>
  </si>
  <si>
    <t>https://ebookcentral.proquest.com/lib/iuavit/detail.action?docID=6679368</t>
  </si>
  <si>
    <t>Games Without Frontiers? : Socio-Historical Perspectives at the Gaming/Gambling Intersection</t>
  </si>
  <si>
    <t>Wardle, Heather</t>
  </si>
  <si>
    <t>https://ebookcentral.proquest.com/lib/iuavit/detail.action?docID=6679369</t>
  </si>
  <si>
    <t>The German Chambers of Commerce and Industry : Self-Governance, Service, the General Representation of Interests and the Dual System of Professional Education</t>
  </si>
  <si>
    <t>Sasse, Eberhard;Habisch, André</t>
  </si>
  <si>
    <t>https://ebookcentral.proquest.com/lib/iuavit/detail.action?docID=6679449</t>
  </si>
  <si>
    <t>(un)doing Gender Empirisch : Qualitative Forschung in der Kita</t>
  </si>
  <si>
    <t>Nentwich, Julia C.;Vogt, Franziska</t>
  </si>
  <si>
    <t>https://ebookcentral.proquest.com/lib/iuavit/detail.action?docID=6680535</t>
  </si>
  <si>
    <t>Entrepreneurial Strategy : Starting, Managing, and Scaling New Ventures</t>
  </si>
  <si>
    <t>Shepherd, Dean A.;Patzelt, Holger</t>
  </si>
  <si>
    <t>https://ebookcentral.proquest.com/lib/iuavit/detail.action?docID=6680536</t>
  </si>
  <si>
    <t>Organizing for Sustainability : A Guide to Developing New Business Models</t>
  </si>
  <si>
    <t>Jonker, Jan;Faber, Niels</t>
  </si>
  <si>
    <t>HD30.255</t>
  </si>
  <si>
    <t>https://ebookcentral.proquest.com/lib/iuavit/detail.action?docID=6680537</t>
  </si>
  <si>
    <t>Brain-Inspired Computing : 4th International Workshop, BrainComp 2019, Cetraro, Italy, July 15-19, 2019, Revised Selected Papers</t>
  </si>
  <si>
    <t>Amunts, Katrin;Grandinetti, Lucio;Lippert, Thomas;Petkov, Nicolai</t>
  </si>
  <si>
    <t>https://ebookcentral.proquest.com/lib/iuavit/detail.action?docID=6681091</t>
  </si>
  <si>
    <t>Logistische Regression : Eine Anwendungsorientierte Einführung Mit R</t>
  </si>
  <si>
    <t>Kalisch, Markus;Meier, Lukas</t>
  </si>
  <si>
    <t>QA278.2</t>
  </si>
  <si>
    <t>https://ebookcentral.proquest.com/lib/iuavit/detail.action?docID=6681092</t>
  </si>
  <si>
    <t>Outdoor Learning and Play : Pedagogical Practices and Children's Cultural Formation</t>
  </si>
  <si>
    <t>Grindheim, Liv Torunn;Sørensen, Hanne Værum;Rekers, Angela</t>
  </si>
  <si>
    <t>https://ebookcentral.proquest.com/lib/iuavit/detail.action?docID=6681093</t>
  </si>
  <si>
    <t>The Data Journalism Handbook : Towards a Critical Data Practice</t>
  </si>
  <si>
    <t>Bounegru, Liliana;Gray, Jonathan</t>
  </si>
  <si>
    <t>Social Science; Journalism; Computer Science/IT</t>
  </si>
  <si>
    <t>https://ebookcentral.proquest.com/lib/iuavit/detail.action?docID=6683644</t>
  </si>
  <si>
    <t>Co-Governed Sovereignty Network : Legal Basis and Its Prototype and Applications with MIN Architecture</t>
  </si>
  <si>
    <t>Li, Hui;Yang, Xin</t>
  </si>
  <si>
    <t>https://ebookcentral.proquest.com/lib/iuavit/detail.action?docID=6684530</t>
  </si>
  <si>
    <t>Non-Canonical Control in a Cross-linguistic Perspective</t>
  </si>
  <si>
    <t>Mucha, Anne;Hartmann, Jutta M.;Trawiński, Beata</t>
  </si>
  <si>
    <t>P299.C596</t>
  </si>
  <si>
    <t>https://ebookcentral.proquest.com/lib/iuavit/detail.action?docID=6686713</t>
  </si>
  <si>
    <t>Introduction to Space Syntax in Urban Studies</t>
  </si>
  <si>
    <t>van Nes, Akkelies;Yamu, Claudia</t>
  </si>
  <si>
    <t>Business/Management; Political Science; Social Science</t>
  </si>
  <si>
    <t>https://ebookcentral.proquest.com/lib/iuavit/detail.action?docID=6687084</t>
  </si>
  <si>
    <t>What Works in Conservation : 2021</t>
  </si>
  <si>
    <t>Sutherland, William J.;Dicks, Lynn V.;Petrovan, Silviu O.;Smith, Rebecca K.</t>
  </si>
  <si>
    <t>QH75</t>
  </si>
  <si>
    <t>Biodiversity conservation. ; Biodiversity conservation--Government policy. ; Biodiversity conservation--Management.</t>
  </si>
  <si>
    <t>https://ebookcentral.proquest.com/lib/iuavit/detail.action?docID=6689123</t>
  </si>
  <si>
    <t>Politics and the Environment in Eastern Europe</t>
  </si>
  <si>
    <t>Krasznai Kovacs, Eszter</t>
  </si>
  <si>
    <t>DJK51</t>
  </si>
  <si>
    <t>Environmental policy--Europe, Eastern. ; Environmental protection--Europe, Eastern. ; Europe, Eastern--Politics and government--21st century.</t>
  </si>
  <si>
    <t>https://ebookcentral.proquest.com/lib/iuavit/detail.action?docID=6689124</t>
  </si>
  <si>
    <t>Ray Tracing Gems II : Next Generation Real-Time Rendering with DXR, Vulkan, and OptiX</t>
  </si>
  <si>
    <t>Marrs, Adam;Shirley, Peter;Wald, Ingo</t>
  </si>
  <si>
    <t>https://ebookcentral.proquest.com/lib/iuavit/detail.action?docID=6689306</t>
  </si>
  <si>
    <t>Visual Methodology in Migration Studies : New Possibilities, Theoretical Implications, and Ethical Questions</t>
  </si>
  <si>
    <t>Nikielska-Sekula, Karolina;Desille, Amandine</t>
  </si>
  <si>
    <t>https://ebookcentral.proquest.com/lib/iuavit/detail.action?docID=6689307</t>
  </si>
  <si>
    <t>Improving Interagency Collaboration, Innovation and Learning in Criminal Justice Systems : Supporting Offender Rehabilitation</t>
  </si>
  <si>
    <t>Hean, Sarah;Johnsen, Berit;Kajamaa, Anu;Kloetzer, Laure</t>
  </si>
  <si>
    <t>https://ebookcentral.proquest.com/lib/iuavit/detail.action?docID=6689308</t>
  </si>
  <si>
    <t>Augmented Humanity : Being and Remaining Agentic in a Digitalized World</t>
  </si>
  <si>
    <t>Bryant, Peter T.</t>
  </si>
  <si>
    <t>Psychology; Computer Science/IT</t>
  </si>
  <si>
    <t>BF698-698.9</t>
  </si>
  <si>
    <t>https://ebookcentral.proquest.com/lib/iuavit/detail.action?docID=6689309</t>
  </si>
  <si>
    <t>Mehrsprachige Pflegebedürftige in Deutschen Pflegeheimen und das Projekt Unvergessen : Studierende an der Schnittstelle Von Forschung und Gesellschaft</t>
  </si>
  <si>
    <t>Karl, Katrin Bente</t>
  </si>
  <si>
    <t>HB1531-1738</t>
  </si>
  <si>
    <t>https://ebookcentral.proquest.com/lib/iuavit/detail.action?docID=6689310</t>
  </si>
  <si>
    <t>Concepts in Action : Representation, Learning, and Application</t>
  </si>
  <si>
    <t>Bechberger, Lucas;Kühnberger, Kai-Uwe;Liu, Mingya</t>
  </si>
  <si>
    <t>https://ebookcentral.proquest.com/lib/iuavit/detail.action?docID=6689311</t>
  </si>
  <si>
    <t>Between Peace and Conflict in the East and the West : Studies on Transformation and Development in the OSCE Region</t>
  </si>
  <si>
    <t>Mihr, Anja</t>
  </si>
  <si>
    <t>https://ebookcentral.proquest.com/lib/iuavit/detail.action?docID=6692414</t>
  </si>
  <si>
    <t>Stocker du Carbone Dans les Sols Français : Quel Potentiel et à Quel Coût ?</t>
  </si>
  <si>
    <t>Pellerin, Sylvain;Bamière, Laure;Savini, Isabelle;Réchauchère, Olivier</t>
  </si>
  <si>
    <t>https://ebookcentral.proquest.com/lib/iuavit/detail.action?docID=6696321</t>
  </si>
  <si>
    <t>Global Political Demography : The Politics of Population Change</t>
  </si>
  <si>
    <t>Goerres, Achim;Vanhuysse, Pieter</t>
  </si>
  <si>
    <t>https://ebookcentral.proquest.com/lib/iuavit/detail.action?docID=6696599</t>
  </si>
  <si>
    <t>Vor der Revolution : Die Vereinigten Staaten und Die Permanente Intervention in Iran, 1953-1975</t>
  </si>
  <si>
    <t>Popp, Roland</t>
  </si>
  <si>
    <t>JZ5587-6009</t>
  </si>
  <si>
    <t>https://ebookcentral.proquest.com/lib/iuavit/detail.action?docID=6696600</t>
  </si>
  <si>
    <t>Molecular Beams in Physics and Chemistry : From Otto Stern's Pioneering Exploits to Present-Day Feats</t>
  </si>
  <si>
    <t>Friedrich, Bretislav;Schmidt-Böcking, Horst</t>
  </si>
  <si>
    <t>https://ebookcentral.proquest.com/lib/iuavit/detail.action?docID=6698484</t>
  </si>
  <si>
    <t>A Visual Atlas for Soil Micromorphologists</t>
  </si>
  <si>
    <t>Verrecchia, Eric P.;Trombino, Luca</t>
  </si>
  <si>
    <t>https://ebookcentral.proquest.com/lib/iuavit/detail.action?docID=6699255</t>
  </si>
  <si>
    <t>Student Feedback on Teaching in Schools : Using Student Perceptions for the Development of Teaching and Teachers</t>
  </si>
  <si>
    <t>Rollett, Wolfram;Bijlsma, Hannah;Röhl, Sebastian</t>
  </si>
  <si>
    <t>https://ebookcentral.proquest.com/lib/iuavit/detail.action?docID=6699256</t>
  </si>
  <si>
    <t>Big Data in Bioeconomy : Results from the European DataBio Project</t>
  </si>
  <si>
    <t>Södergård, Caj;Mildorf, Tomas;Habyarimana, Ephrem;Berre, Arne J.;Fernandes, Jose A.;Zinke-Wehlmann, Christian</t>
  </si>
  <si>
    <t>SD1-668</t>
  </si>
  <si>
    <t>https://ebookcentral.proquest.com/lib/iuavit/detail.action?docID=6700223</t>
  </si>
  <si>
    <t>Foundations of Software Science and Computation Structures : 23rd International Conference, FOSSACS 2020, Held As Part of the European Joint Conferences on Theory and Practice of Software, ETAPS 2020, Dublin, Ireland, April 25-30, 2020, Proceedings</t>
  </si>
  <si>
    <t>Goubault-Larrecq, Jean;König, Barbara</t>
  </si>
  <si>
    <t>QA8.9-10.3</t>
  </si>
  <si>
    <t>https://ebookcentral.proquest.com/lib/iuavit/detail.action?docID=6702647</t>
  </si>
  <si>
    <t>Earth Observation Science and Applications for Risk Reduction and Enhanced Resilience in Hindu Kush Himalaya Region : A Decade of Experience from SERVIR</t>
  </si>
  <si>
    <t>Bajracharya, Birendra;Thapa, Rajesh Bahadur;Matin, Mir A.</t>
  </si>
  <si>
    <t>https://ebookcentral.proquest.com/lib/iuavit/detail.action?docID=6705010</t>
  </si>
  <si>
    <t>Beyond the Makerspace : Making and Relational Rhetorics</t>
  </si>
  <si>
    <t>Shivers-McNair, Ann</t>
  </si>
  <si>
    <t>Education; Business/Management</t>
  </si>
  <si>
    <t>TS171</t>
  </si>
  <si>
    <t>https://ebookcentral.proquest.com/lib/iuavit/detail.action?docID=6706670</t>
  </si>
  <si>
    <t>Theater As Data : Computational Journeys into Theater Research</t>
  </si>
  <si>
    <t>Escobar Varela, Miguel</t>
  </si>
  <si>
    <t>PN2075</t>
  </si>
  <si>
    <t>https://ebookcentral.proquest.com/lib/iuavit/detail.action?docID=6706672</t>
  </si>
  <si>
    <t>Saving New Sounds : Podcast Preservation and Historiography</t>
  </si>
  <si>
    <t>Morris, Jeremy Wade;Hoyt, Eric</t>
  </si>
  <si>
    <t>Library Science; Publishing</t>
  </si>
  <si>
    <t>ZA4210</t>
  </si>
  <si>
    <t>https://ebookcentral.proquest.com/lib/iuavit/detail.action?docID=6706674</t>
  </si>
  <si>
    <t>Paul Lorenzen -- Mathematician and Logician</t>
  </si>
  <si>
    <t>Heinzmann, Gerhard;Wolters, Gereon</t>
  </si>
  <si>
    <t>QA8-10.4</t>
  </si>
  <si>
    <t>https://ebookcentral.proquest.com/lib/iuavit/detail.action?docID=6707454</t>
  </si>
  <si>
    <t>The Economics of the Audiovisual Industry: Financing TV, Film and Web</t>
  </si>
  <si>
    <t>La Torre, Mario</t>
  </si>
  <si>
    <t>NX1-820</t>
  </si>
  <si>
    <t>https://ebookcentral.proquest.com/lib/iuavit/detail.action?docID=6709073</t>
  </si>
  <si>
    <t>Selbststudium Im Digitalen Wandel : Digitales, Begleitetes Selbststudium in der Mathematik - MINT Meistern Mit Optes</t>
  </si>
  <si>
    <t>Küstermann, Roland;Kunkel, Matthias;Mersch, André;Schreiber, Anne</t>
  </si>
  <si>
    <t>https://ebookcentral.proquest.com/lib/iuavit/detail.action?docID=6709812</t>
  </si>
  <si>
    <t>Assessment of Climate Change over the Indian Region : A Report of the Ministry of Earth Sciences (MoES), Government of India</t>
  </si>
  <si>
    <t>Krishnan, R.;Sanjay, J.;Gnanaseelan, Chellappan;Mujumdar, Milind;Kulkarni, Ashwini;Chakraborty, Supriyo</t>
  </si>
  <si>
    <t>https://ebookcentral.proquest.com/lib/iuavit/detail.action?docID=6709813</t>
  </si>
  <si>
    <t>The Importance and Value of Older Employees : Wise Workers in the Workplace</t>
  </si>
  <si>
    <t>Hilsen, Anne Inga;Olsen, Dorothy Sutherland</t>
  </si>
  <si>
    <t>HD6951-6957</t>
  </si>
  <si>
    <t>https://ebookcentral.proquest.com/lib/iuavit/detail.action?docID=6709814</t>
  </si>
  <si>
    <t>Three Essays on Empirical Asset Pricing in International Equity Markets</t>
  </si>
  <si>
    <t>Müller, Birgit Charlotte</t>
  </si>
  <si>
    <t>HG4523</t>
  </si>
  <si>
    <t>https://ebookcentral.proquest.com/lib/iuavit/detail.action?docID=6709815</t>
  </si>
  <si>
    <t>Binging Family : Die Konzeption Von Familie in der Video-On-Demand-Serie</t>
  </si>
  <si>
    <t>Kelsch, Jakob</t>
  </si>
  <si>
    <t>PN1993.5.U6</t>
  </si>
  <si>
    <t>https://ebookcentral.proquest.com/lib/iuavit/detail.action?docID=6709816</t>
  </si>
  <si>
    <t>Music As Intangible Cultural Heritage : Economic, Cultural and Social Identity</t>
  </si>
  <si>
    <t>de-Miguel-Molina, Blanca;Santamarina-Campos, Virginia;de-Miguel-Molina, María;Boix-Doménech, Rafael</t>
  </si>
  <si>
    <t>https://ebookcentral.proquest.com/lib/iuavit/detail.action?docID=6710764</t>
  </si>
  <si>
    <t>NGOs Als Besondere Akteure der Interessenvermittlung : Eine Analyse der Politischen Rationalität Von Nichtregierungsorganisationen</t>
  </si>
  <si>
    <t>Schiffers, Maximilian</t>
  </si>
  <si>
    <t>https://ebookcentral.proquest.com/lib/iuavit/detail.action?docID=6710765</t>
  </si>
  <si>
    <t>Liquidity, Markets and Trading in Action : An Interdisciplinary Perspective</t>
  </si>
  <si>
    <t>Ozenbas, Deniz;Pagano, Michael S.;Schwartz, Robert A.;Weber, Bruce W.</t>
  </si>
  <si>
    <t>HG4001-4285</t>
  </si>
  <si>
    <t>https://ebookcentral.proquest.com/lib/iuavit/detail.action?docID=6713236</t>
  </si>
  <si>
    <t>From Goethe to Gundolf : Essays on German Literature and Culture</t>
  </si>
  <si>
    <t>PT72</t>
  </si>
  <si>
    <t>German literature. ; German literature--18th century--History and criticism. ; German literature--19th century--History and criticism.</t>
  </si>
  <si>
    <t>https://ebookcentral.proquest.com/lib/iuavit/detail.action?docID=6714071</t>
  </si>
  <si>
    <t>Dissecting Discrimination : Identifying Its Various Faces and Their Sources</t>
  </si>
  <si>
    <t>Villiger, Daniel</t>
  </si>
  <si>
    <t>https://ebookcentral.proquest.com/lib/iuavit/detail.action?docID=6714634</t>
  </si>
  <si>
    <t>Il était une Fois L'Ifremer</t>
  </si>
  <si>
    <t>Chatry, Gilles;Boulaire, Alain</t>
  </si>
  <si>
    <t>Science: Biology/Natural History; History</t>
  </si>
  <si>
    <t>https://ebookcentral.proquest.com/lib/iuavit/detail.action?docID=6715041</t>
  </si>
  <si>
    <t>Le Bien-être des Animaux D'élevage : Évaluer le Bien-être Animal</t>
  </si>
  <si>
    <t>Mounier, Luc;Boissy, Alain;de Boyer des Roches, Alice;Duvaux-Ponter, Christine;Guattéo, Raphaël;Meunier-Salaün, Marie-Christine;Mormède, Pierre</t>
  </si>
  <si>
    <t>https://ebookcentral.proquest.com/lib/iuavit/detail.action?docID=6715042</t>
  </si>
  <si>
    <t>Agricultural Robotics: Part of the New Deal? FIRA 2020 Conclusions : With 27 Agricultural Robot Information Sheets</t>
  </si>
  <si>
    <t>Lenain, Roland;Peyrache, Julie;Savary, Alain;Séverac, Gaëtan</t>
  </si>
  <si>
    <t>https://ebookcentral.proquest.com/lib/iuavit/detail.action?docID=6716612</t>
  </si>
  <si>
    <t>Queering Asylum in Europe : Legal and Social Experiences of Seeking International Protection on Grounds of Sexual Orientation and Gender Identity</t>
  </si>
  <si>
    <t>Danisi, Carmelo;Dustin, Moira;Ferreira, Nuno;Held, Nina</t>
  </si>
  <si>
    <t>https://ebookcentral.proquest.com/lib/iuavit/detail.action?docID=6716674</t>
  </si>
  <si>
    <t>Good Citizenship for the Next Generation : A Global Perspective Using IEA ICCS 2016 Data</t>
  </si>
  <si>
    <t>Treviño, Ernesto;Carrasco, Diego;Claes, Ellen;Kennedy, Kerry J.</t>
  </si>
  <si>
    <t>https://ebookcentral.proquest.com/lib/iuavit/detail.action?docID=6716675</t>
  </si>
  <si>
    <t>Typisch Social Entrepreneurship : Arbeitsgestaltung und Wirkung Von Arbeit Bei Sozialunternehmer*innen in Deutschland</t>
  </si>
  <si>
    <t>Hein, Rüdiger</t>
  </si>
  <si>
    <t>https://ebookcentral.proquest.com/lib/iuavit/detail.action?docID=6716676</t>
  </si>
  <si>
    <t>Anatomie des Amoklaufs : Malaiischer Mĕngamok und School Shooting</t>
  </si>
  <si>
    <t>Sell, Madlen</t>
  </si>
  <si>
    <t>HV6080-6113</t>
  </si>
  <si>
    <t>https://ebookcentral.proquest.com/lib/iuavit/detail.action?docID=6716677</t>
  </si>
  <si>
    <t>Towards a Digital Epistemology : Aesthetics and Modes of Thought in Early Modernity and the Present Age</t>
  </si>
  <si>
    <t>Ingvarsson, Jonas</t>
  </si>
  <si>
    <t>https://ebookcentral.proquest.com/lib/iuavit/detail.action?docID=6717895</t>
  </si>
  <si>
    <t>The Promise of Higher Education : Essays in Honour of 70 Years of IAU</t>
  </si>
  <si>
    <t>van't Land, Hilligje;Corcoran, Andreas;Iancu, Diana-Camelia</t>
  </si>
  <si>
    <t>https://ebookcentral.proquest.com/lib/iuavit/detail.action?docID=6717896</t>
  </si>
  <si>
    <t>Complicities : A Theory for Subjectivity in the Psychological Humanities</t>
  </si>
  <si>
    <t>Distiller, Natasha</t>
  </si>
  <si>
    <t>BF38</t>
  </si>
  <si>
    <t>https://ebookcentral.proquest.com/lib/iuavit/detail.action?docID=6719370</t>
  </si>
  <si>
    <t>Modern Industrial Services : A Cookbook for Design, Delivery, and Management</t>
  </si>
  <si>
    <t>West, shaun;Gaiardelli, Paolo;Saccani, Nicola</t>
  </si>
  <si>
    <t>HD9980-9990</t>
  </si>
  <si>
    <t>https://ebookcentral.proquest.com/lib/iuavit/detail.action?docID=6719986</t>
  </si>
  <si>
    <t>Local Tax Benefits at a Distance : Japan's Hometown Tax Donation Payment</t>
  </si>
  <si>
    <t>Hoda, Takaaki;Dasher, Richard B.</t>
  </si>
  <si>
    <t>HF3751-3868</t>
  </si>
  <si>
    <t>https://ebookcentral.proquest.com/lib/iuavit/detail.action?docID=6720434</t>
  </si>
  <si>
    <t>Engaged Fatherhood for Men, Families and Gender Equality : Healthcare, Social Policy, and Work Perspectives</t>
  </si>
  <si>
    <t>Grau Grau, Marc;las Heras Maestro, Mireia;Riley Bowles, Hannah</t>
  </si>
  <si>
    <t>https://ebookcentral.proquest.com/lib/iuavit/detail.action?docID=6722061</t>
  </si>
  <si>
    <t>Emerging Threats of Synthetic Biology and Biotechnology : Addressing Security and Resilience Issues</t>
  </si>
  <si>
    <t>Trump, Benjamin D.;Florin, Marie-Valentine;Perkins, Edward;Linkov, Igor</t>
  </si>
  <si>
    <t>Military Science; Engineering: Chemical; Engineering</t>
  </si>
  <si>
    <t>https://ebookcentral.proquest.com/lib/iuavit/detail.action?docID=6722062</t>
  </si>
  <si>
    <t>Violence in the Balkans : First Findings from the Balkan Homicide Study</t>
  </si>
  <si>
    <t>Getos Kalac, Anna-Maria</t>
  </si>
  <si>
    <t>https://ebookcentral.proquest.com/lib/iuavit/detail.action?docID=6724812</t>
  </si>
  <si>
    <t>Unterrichtszentrierte Schulentwicklung : Schulen Auf Dem Weg Zu Einer Personalisierten Gestaltung Von Lehr- und Lernprozessen</t>
  </si>
  <si>
    <t>Galle, Marco</t>
  </si>
  <si>
    <t>LB1049</t>
  </si>
  <si>
    <t>https://ebookcentral.proquest.com/lib/iuavit/detail.action?docID=6724813</t>
  </si>
  <si>
    <t>No Real Choice : How Culture and Politics Matter for Reproductive Autonomy</t>
  </si>
  <si>
    <t>Kimport, Katrina</t>
  </si>
  <si>
    <t>362.1988/800973</t>
  </si>
  <si>
    <t>https://ebookcentral.proquest.com/lib/iuavit/detail.action?docID=6724954</t>
  </si>
  <si>
    <t>Sex, Identity, Aesthetics : The Work of Tobin Siebers and Disability Studies</t>
  </si>
  <si>
    <t>Kim, Jina B.;Kupetz, Joshua;Lie, Crystal Yin;Wu, Cynthia</t>
  </si>
  <si>
    <t>HV1658</t>
  </si>
  <si>
    <t>https://ebookcentral.proquest.com/lib/iuavit/detail.action?docID=6725017</t>
  </si>
  <si>
    <t>Improving Inclusive Education Through Universal Design for Learning</t>
  </si>
  <si>
    <t>Galkiene, Alvyra;Monkeviciene, Ona</t>
  </si>
  <si>
    <t>LC1200-1203</t>
  </si>
  <si>
    <t>https://ebookcentral.proquest.com/lib/iuavit/detail.action?docID=6725018</t>
  </si>
  <si>
    <t>Interdisciplinary Nutritional Management and Care for Older Adults : An Evidence-Based Practical Guide for Nurses</t>
  </si>
  <si>
    <t>Geirsdóttir, Ólöf G.;Bell, Jack J.</t>
  </si>
  <si>
    <t>RT1-120</t>
  </si>
  <si>
    <t>https://ebookcentral.proquest.com/lib/iuavit/detail.action?docID=6725019</t>
  </si>
  <si>
    <t>Sexual and Reproductive Health and Rights in India : Self-Care for Universal Health Coverage</t>
  </si>
  <si>
    <t>Pachauri, Saroj;Pachauri, Ash;Mittal, Komal</t>
  </si>
  <si>
    <t>RA776.99-778.2</t>
  </si>
  <si>
    <t>https://ebookcentral.proquest.com/lib/iuavit/detail.action?docID=6725199</t>
  </si>
  <si>
    <t>A Handbook and Reader of Ottoman Arabic</t>
  </si>
  <si>
    <t>Wagner, Esther-Miriam</t>
  </si>
  <si>
    <t>PJ7624</t>
  </si>
  <si>
    <t>Arabic language--Readers.</t>
  </si>
  <si>
    <t>https://ebookcentral.proquest.com/lib/iuavit/detail.action?docID=6726326</t>
  </si>
  <si>
    <t>Partizipation Durch Werkstatträte</t>
  </si>
  <si>
    <t>Schachler, Viviane</t>
  </si>
  <si>
    <t>LC4001-4700.4</t>
  </si>
  <si>
    <t>https://ebookcentral.proquest.com/lib/iuavit/detail.action?docID=6726436</t>
  </si>
  <si>
    <t>Primary and Secondary Education During Covid-19 : Disruptions to Educational Opportunity During a Pandemic</t>
  </si>
  <si>
    <t>https://ebookcentral.proquest.com/lib/iuavit/detail.action?docID=6727208</t>
  </si>
  <si>
    <t>Co-Creation for Responsible Research and Innovation : Experimenting with Design Methods and Tools</t>
  </si>
  <si>
    <t>Deserti, Alessandro;Real, Marion;Schmittinger, Felicitas</t>
  </si>
  <si>
    <t>https://ebookcentral.proquest.com/lib/iuavit/detail.action?docID=6729462</t>
  </si>
  <si>
    <t>Übersetzen in der Frühen Neuzeit - Konzepte und Methoden / Concepts and Practices of Translation in the Early Modern Period</t>
  </si>
  <si>
    <t>Toepfer, Regina;Burschel, Peter;Wesche, Jörg;Koppers, Annkathrin</t>
  </si>
  <si>
    <t>https://ebookcentral.proquest.com/lib/iuavit/detail.action?docID=6729463</t>
  </si>
  <si>
    <t>Die Praxis der Social-Media-Analyse : Eine Explorative Untersuchung Kalibrierten Zuhörens in der Automobilindustrie</t>
  </si>
  <si>
    <t>Säugling, Carolin</t>
  </si>
  <si>
    <t>https://ebookcentral.proquest.com/lib/iuavit/detail.action?docID=6730700</t>
  </si>
  <si>
    <t>NL ARMS Netherlands Annual Review of Military Studies 2021 : Compliance and Integrity in International Military Trade</t>
  </si>
  <si>
    <t>Beeres, Robert;Bertrand, Robert;Klomp, Jeroen;Timmermans, Job;Voetelink, Joop</t>
  </si>
  <si>
    <t>https://ebookcentral.proquest.com/lib/iuavit/detail.action?docID=6730701</t>
  </si>
  <si>
    <t>Zivilgesellschaftliche Performanz Von Religiösen und Säkularen Migrantenselbstorganisationen : Eine Studie in Nordrhein-Westfalen</t>
  </si>
  <si>
    <t>Klie, Anna Wiebke</t>
  </si>
  <si>
    <t>https://ebookcentral.proquest.com/lib/iuavit/detail.action?docID=6732941</t>
  </si>
  <si>
    <t>Proceedings of the 2021 DigitalFUTURES : The 3rd International Conference on Computational Design and Robotic Fabrication (CDRF 2021)</t>
  </si>
  <si>
    <t>Yuan, Philip F.;Chai, Hua;Yan, Chao;Leach, Neil</t>
  </si>
  <si>
    <t>https://ebookcentral.proquest.com/lib/iuavit/detail.action?docID=6732942</t>
  </si>
  <si>
    <t>Hochschulreformen, Leistungsbewertungen und Berufliche Identität Von Professor*innen : Eine Fächervergleichende Qualitative Studie</t>
  </si>
  <si>
    <t>Janßen, Melike;Schimank, Uwe;Sondermann, Ariadne</t>
  </si>
  <si>
    <t>LB1705-2286</t>
  </si>
  <si>
    <t>https://ebookcentral.proquest.com/lib/iuavit/detail.action?docID=6732943</t>
  </si>
  <si>
    <t>Structural Health Monitoring Damage Detection Systems for Aerospace</t>
  </si>
  <si>
    <t>Sause, Markus G. R.;Jasiūnienė, Elena</t>
  </si>
  <si>
    <t>TA418.5-.84</t>
  </si>
  <si>
    <t>https://ebookcentral.proquest.com/lib/iuavit/detail.action?docID=6733486</t>
  </si>
  <si>
    <t>Politische Bildung in Aktion : Eine Qualitative Studie Zur Rekonstruktion Von Selbstbestimmten Bildungserfahrungen in Politischen Jugendinitiativen</t>
  </si>
  <si>
    <t>Kenner, Steve</t>
  </si>
  <si>
    <t>https://ebookcentral.proquest.com/lib/iuavit/detail.action?docID=6733487</t>
  </si>
  <si>
    <t>Le Bien-être des Animaux D'élevage : Comprendre le Bien-être Animal</t>
  </si>
  <si>
    <t>Mounier, Luc;de Boyer des Roches, Alice;Duvaux-Ponter, Christine;Guattéo, Raphaël;Meunier-Salaün, Marie-Christine;Mormède, Pierre;Mounier, Luc</t>
  </si>
  <si>
    <t>Law; Science: Zoology</t>
  </si>
  <si>
    <t>https://ebookcentral.proquest.com/lib/iuavit/detail.action?docID=6733953</t>
  </si>
  <si>
    <t>Le Bananier Plantain : Enjeux Socio-économiques et Techniques</t>
  </si>
  <si>
    <t>Kwa, Moïse;Temple, Ludovic</t>
  </si>
  <si>
    <t>Science: Biology/Natural History</t>
  </si>
  <si>
    <t>https://ebookcentral.proquest.com/lib/iuavit/detail.action?docID=6733957</t>
  </si>
  <si>
    <t>Carrières D'halieutes : Histoires de Mer et de Passions</t>
  </si>
  <si>
    <t>Gascuel, Didier</t>
  </si>
  <si>
    <t>https://ebookcentral.proquest.com/lib/iuavit/detail.action?docID=6733958</t>
  </si>
  <si>
    <t>Strategic Management of Agricultural and Life Sciences Research Organisations : Interfaces, Processes and Contents</t>
  </si>
  <si>
    <t>Heimann, Bettina;O'Brien, Lance</t>
  </si>
  <si>
    <t>https://ebookcentral.proquest.com/lib/iuavit/detail.action?docID=6733959</t>
  </si>
  <si>
    <t>Agroforesterie et Services écosystémiques en Zone Tropicale : Recherche de Compromis Entre Services d'approvisionnement et Autres Services écosystémiques</t>
  </si>
  <si>
    <t>Seghieri, Josiane;Harmand, Jean-Michel</t>
  </si>
  <si>
    <t>https://ebookcentral.proquest.com/lib/iuavit/detail.action?docID=6733962</t>
  </si>
  <si>
    <t>Sugar Beet : A Competitive Innovation</t>
  </si>
  <si>
    <t>Huyghe, Christian;Desprez, Bruno;Laudinat, Vincent;Guillaume, Didier</t>
  </si>
  <si>
    <t>https://ebookcentral.proquest.com/lib/iuavit/detail.action?docID=6733963</t>
  </si>
  <si>
    <t>Grassland Use in Europe : A Syllabus for Young Farmers</t>
  </si>
  <si>
    <t>Pol-van Dasselaar, Agnes van den;Bastiaansen-Aantjes, Leanne;Bogue, Fergus;O'Donovan, Michael;Huyghe, Christian</t>
  </si>
  <si>
    <t>https://ebookcentral.proquest.com/lib/iuavit/detail.action?docID=6733965</t>
  </si>
  <si>
    <t>La Betterave Sucrière : L'innovation Compétitive</t>
  </si>
  <si>
    <t>https://ebookcentral.proquest.com/lib/iuavit/detail.action?docID=6733966</t>
  </si>
  <si>
    <t>L' eau en Milieu Agricole : Outils et Méthodes Pour une Gestion Intégrée et Territoriale</t>
  </si>
  <si>
    <t>Leenhardt, Delphine;Voltz, Marc;Barreteau, Olivier</t>
  </si>
  <si>
    <t>https://ebookcentral.proquest.com/lib/iuavit/detail.action?docID=6733969</t>
  </si>
  <si>
    <t>Des Choses de la Nature et de Leurs Droits</t>
  </si>
  <si>
    <t>Vanuxem, Sarah</t>
  </si>
  <si>
    <t>Law; Environmental Studies</t>
  </si>
  <si>
    <t>https://ebookcentral.proquest.com/lib/iuavit/detail.action?docID=6733970</t>
  </si>
  <si>
    <t>Services écosystémiques et Protection des Sols : Analyses Juridiques et éclairages Agronomiques</t>
  </si>
  <si>
    <t>Hermon, Carole</t>
  </si>
  <si>
    <t>https://ebookcentral.proquest.com/lib/iuavit/detail.action?docID=6733971</t>
  </si>
  <si>
    <t>Du Comportement Végétal à l'intelligence des Plantes ?</t>
  </si>
  <si>
    <t>Hiernaux, Quentin</t>
  </si>
  <si>
    <t>https://ebookcentral.proquest.com/lib/iuavit/detail.action?docID=6733972</t>
  </si>
  <si>
    <t>One Health, une Seule Santé : Théorie et Pratique des Approches Intégrées de la Santé</t>
  </si>
  <si>
    <t>Zinsstag, Jakob;Schelling, Esther;Waltner-Toews, David;A. Whittaker, Maxine;Tanner, Marcel</t>
  </si>
  <si>
    <t>https://ebookcentral.proquest.com/lib/iuavit/detail.action?docID=6733974</t>
  </si>
  <si>
    <t>Grasslands and Herbivore Production in Europe and Effects of Common Policies</t>
  </si>
  <si>
    <t>Huyghe, Christian;De Vliegher, Alex;Van Gils, Bert;Peeters, Alain</t>
  </si>
  <si>
    <t>https://ebookcentral.proquest.com/lib/iuavit/detail.action?docID=6733978</t>
  </si>
  <si>
    <t>Agroécologie : des Recherches Pour la Transition des Filières et des Territoires</t>
  </si>
  <si>
    <t>Science: Biology/Natural History; Environmental Studies</t>
  </si>
  <si>
    <t>https://ebookcentral.proquest.com/lib/iuavit/detail.action?docID=6733981</t>
  </si>
  <si>
    <t>Les légumineuses Pour des Systèmes Agricoles et Alimentaires Durables</t>
  </si>
  <si>
    <t>Schneider, Anne;Huyghe, Christian</t>
  </si>
  <si>
    <t>https://ebookcentral.proquest.com/lib/iuavit/detail.action?docID=6733984</t>
  </si>
  <si>
    <t>Gestion des Territoires Ruraux : Connaissances et Méthodes Pour la décision Publique Tomes 1 Et 2</t>
  </si>
  <si>
    <t>Pivot, Jean-Marc</t>
  </si>
  <si>
    <t>https://ebookcentral.proquest.com/lib/iuavit/detail.action?docID=6733994</t>
  </si>
  <si>
    <t>La Transition Numérique Dans la Recherche et l'enseignement Supérieur à L'horizon 2040</t>
  </si>
  <si>
    <t>Barzman, Marco;Gerphagnon, Mélanie;Mora, Olivier</t>
  </si>
  <si>
    <t>https://ebookcentral.proquest.com/lib/iuavit/detail.action?docID=6733996</t>
  </si>
  <si>
    <t>La Transformation des Grains</t>
  </si>
  <si>
    <t>Cruz, Jean-François;Hounhouigan, D. Joseph;Havard, Michel;Ferré, Thierry</t>
  </si>
  <si>
    <t>https://ebookcentral.proquest.com/lib/iuavit/detail.action?docID=6733997</t>
  </si>
  <si>
    <t>Le Manioc, Entre Culture Alimentaire et Filière Agro-Industrielle</t>
  </si>
  <si>
    <t>Vernier, Philippe;N'Zué, Boni;Zakhia-Rozis, Nadine</t>
  </si>
  <si>
    <t>Business/Management; Science: Biology/Natural History; Social Science</t>
  </si>
  <si>
    <t>https://ebookcentral.proquest.com/lib/iuavit/detail.action?docID=6733999</t>
  </si>
  <si>
    <t>La Santé Globale Au Prisme de l'analyse des Politiques Publiques</t>
  </si>
  <si>
    <t>Gardon, Sébastien;Gautier, Amandine;Le Naour, Gwenola;Faugère, Olivier;Payre, Renaud</t>
  </si>
  <si>
    <t>https://ebookcentral.proquest.com/lib/iuavit/detail.action?docID=6734000</t>
  </si>
  <si>
    <t>Piloter la Fertilisation du Palmier à Huile</t>
  </si>
  <si>
    <t>Dubos, Bernard;Bonneau, Xavier;Flori, Albert</t>
  </si>
  <si>
    <t>https://ebookcentral.proquest.com/lib/iuavit/detail.action?docID=6734002</t>
  </si>
  <si>
    <t>Réaménagement Forestier des Carrières de Granulats</t>
  </si>
  <si>
    <t>Piedallu, Christian;Delory, Isabelle;Vanpeene-Bruhier, Sylvie</t>
  </si>
  <si>
    <t>https://ebookcentral.proquest.com/lib/iuavit/detail.action?docID=6734004</t>
  </si>
  <si>
    <t>Into the Woods : Overlapping Perspectives on the History of Ancien Forest</t>
  </si>
  <si>
    <t>Paradis-Grenouillet, Sandrine;Aspe, Chantal;Burri, Sylvain</t>
  </si>
  <si>
    <t>https://ebookcentral.proquest.com/lib/iuavit/detail.action?docID=6734005</t>
  </si>
  <si>
    <t>Parasites et Parasitoses des Poissons</t>
  </si>
  <si>
    <t>de Kinkelin, Pierre;Morand, Marc;Hedrick, Ronald;Michel, Christian</t>
  </si>
  <si>
    <t>https://ebookcentral.proquest.com/lib/iuavit/detail.action?docID=6734007</t>
  </si>
  <si>
    <t>Stratégies des Filières Fromagères Sous AOP en Europe : Modes de Régulation et Performance économique</t>
  </si>
  <si>
    <t>Jeanneaux, Philippe</t>
  </si>
  <si>
    <t>https://ebookcentral.proquest.com/lib/iuavit/detail.action?docID=6734008</t>
  </si>
  <si>
    <t>De Grands défis et des Solutions Pour L'élevage : INRA Productions Animales 02/19 Vol 32</t>
  </si>
  <si>
    <t>Baumont, René</t>
  </si>
  <si>
    <t>https://ebookcentral.proquest.com/lib/iuavit/detail.action?docID=6734010</t>
  </si>
  <si>
    <t>Potabilisation des Eaux de Surface en Afrique de L'Ouest : Solutions Techniques Adaptées de l'expérience de la Vallée du Fleuve Sénégal</t>
  </si>
  <si>
    <t>David, édéric;Diop, Khadim;Naulet, édéric;Sanchez Riquelme, Ana;Le Corre, Mathieu;Achouline, Saskia</t>
  </si>
  <si>
    <t>Engineering: Mechanical</t>
  </si>
  <si>
    <t>https://ebookcentral.proquest.com/lib/iuavit/detail.action?docID=6734013</t>
  </si>
  <si>
    <t>Manger en Ville : Regards Socio-Anthropologiques d'Afrique, d'Amérique Latine et D'Asie</t>
  </si>
  <si>
    <t>Soula, Audrey;Yount-André, Chelsie;Lepiller, Olivier;Bricas, Nicolas;Hassoun, Jean-Pierre</t>
  </si>
  <si>
    <t>https://ebookcentral.proquest.com/lib/iuavit/detail.action?docID=6734014</t>
  </si>
  <si>
    <t>Sociologie des Changements de Pratiques en Agriculture : L'apport de l'étude des Réseaux de Dialogues Entre Pairs</t>
  </si>
  <si>
    <t>Compagnone, Claude</t>
  </si>
  <si>
    <t>https://ebookcentral.proquest.com/lib/iuavit/detail.action?docID=6734015</t>
  </si>
  <si>
    <t>Restaurer les Milieux et Prévenir les Inondations Grâce Au Génie Végétal</t>
  </si>
  <si>
    <t>Rey, Freddy</t>
  </si>
  <si>
    <t>https://ebookcentral.proquest.com/lib/iuavit/detail.action?docID=6734019</t>
  </si>
  <si>
    <t>Filière forêt-Bois et Atténuation du Changement Climatique : Entre Séquestration du Carbone en forêt et développement de la Bioéconomie</t>
  </si>
  <si>
    <t>Roux, Alice;Colin, Antoine;Dhôte, Jean-François;Schmitt, Bertrand</t>
  </si>
  <si>
    <t>https://ebookcentral.proquest.com/lib/iuavit/detail.action?docID=6734022</t>
  </si>
  <si>
    <t>Une Troisième Voie Entre l'État et le Marché : Échanges Avec Elinor Ostrom</t>
  </si>
  <si>
    <t>Antona, Martine;Bousquet, François</t>
  </si>
  <si>
    <t>https://ebookcentral.proquest.com/lib/iuavit/detail.action?docID=6734023</t>
  </si>
  <si>
    <t>Guide de Gestion des Dunes et des Plages Associées</t>
  </si>
  <si>
    <t>Gouguet, Loïc</t>
  </si>
  <si>
    <t>https://ebookcentral.proquest.com/lib/iuavit/detail.action?docID=6734026</t>
  </si>
  <si>
    <t>Les Terres Agricoles Face à L'urbanisation : De la Donnée à l'action, Quels Rôles Pour L'information ?</t>
  </si>
  <si>
    <t>Plant, Roel;Maurel, Pierre;Barbe, Éric;Brennan, Jane</t>
  </si>
  <si>
    <t>https://ebookcentral.proquest.com/lib/iuavit/detail.action?docID=6734029</t>
  </si>
  <si>
    <t>Sols Artificialisés : Déterminants, Impacts et Leviers D'action</t>
  </si>
  <si>
    <t>Desrousseaux, Maylis;Béchet, Béatrice;Le Bissonnais, Yves;Ruas, Anne;Schmitt, Bertrand</t>
  </si>
  <si>
    <t>https://ebookcentral.proquest.com/lib/iuavit/detail.action?docID=6734034</t>
  </si>
  <si>
    <t>Stratégies de Publication Scientifique</t>
  </si>
  <si>
    <t>Volland-Nail, Patricia</t>
  </si>
  <si>
    <t>https://ebookcentral.proquest.com/lib/iuavit/detail.action?docID=6734037</t>
  </si>
  <si>
    <t>Quelles Agricultures Irriguées Demain ? : Répondre Aux Enjeux de Sécurité Alimentaire et du développement Durable</t>
  </si>
  <si>
    <t>Bouarfa, Sami;Brelle, François;Coulon, Caroline</t>
  </si>
  <si>
    <t>https://ebookcentral.proquest.com/lib/iuavit/detail.action?docID=6734043</t>
  </si>
  <si>
    <t>Emergence of Infectious Diseases : Risks and Issues for Societies</t>
  </si>
  <si>
    <t>Morand, Serge;Figuié, Muriel;Keck, édéric;Gilbert, Claude;Brender, Nathalie;Roger, François;Zylberman, Patrick</t>
  </si>
  <si>
    <t>Social Science; Science: Geology; Science: Biology/Natural History</t>
  </si>
  <si>
    <t>https://ebookcentral.proquest.com/lib/iuavit/detail.action?docID=6734044</t>
  </si>
  <si>
    <t>Réaménagement Agricole des Carrières de Granulats</t>
  </si>
  <si>
    <t>https://ebookcentral.proquest.com/lib/iuavit/detail.action?docID=6734046</t>
  </si>
  <si>
    <t>Impacts et Services Issus des élevages Européens</t>
  </si>
  <si>
    <t>Dumont, Bertrand;Dupraz, Pierre;Donnars, Catherine</t>
  </si>
  <si>
    <t>https://ebookcentral.proquest.com/lib/iuavit/detail.action?docID=6734047</t>
  </si>
  <si>
    <t>Biomasse : Une Histoire de Richesse et de Puissance</t>
  </si>
  <si>
    <t>Daviron, Benoit</t>
  </si>
  <si>
    <t>https://ebookcentral.proquest.com/lib/iuavit/detail.action?docID=6734048</t>
  </si>
  <si>
    <t>Bioeconomy Challenges and Implementation: the European Research Organisations' Perspective</t>
  </si>
  <si>
    <t>Bergeret, Pascal;Svedin, Uno;Valceschini, Egizio</t>
  </si>
  <si>
    <t>https://ebookcentral.proquest.com/lib/iuavit/detail.action?docID=6734054</t>
  </si>
  <si>
    <t>The Forestry and Wood Sector and Climate Change Mitigation : From Carbon Sequestration in Forests to the Development of the Bioeconomy</t>
  </si>
  <si>
    <t>https://ebookcentral.proquest.com/lib/iuavit/detail.action?docID=6734057</t>
  </si>
  <si>
    <t>Geophysical and Geotechnical Methods for Diagnosing Flood Protection Dikes : Guide for Implementation and Interpretation</t>
  </si>
  <si>
    <t>Turner, Richard;Fauchard, Cyrille;Mériaux, Patrice</t>
  </si>
  <si>
    <t>https://ebookcentral.proquest.com/lib/iuavit/detail.action?docID=6734059</t>
  </si>
  <si>
    <t>Oyapock et Maroni : Portraits d'estuaires Amazoniens</t>
  </si>
  <si>
    <t>Gardel, Antoine;Davy, Damien;Théry, Hervé</t>
  </si>
  <si>
    <t>https://ebookcentral.proquest.com/lib/iuavit/detail.action?docID=6734065</t>
  </si>
  <si>
    <t>Climatiser le Monde</t>
  </si>
  <si>
    <t>C. Aykut, Stefan</t>
  </si>
  <si>
    <t>https://ebookcentral.proquest.com/lib/iuavit/detail.action?docID=6734066</t>
  </si>
  <si>
    <t>Dynamique des élevages Pastoraux et Agropastoraux en Afrique Intertropicale</t>
  </si>
  <si>
    <t>Richard, Didier;Alary, Véronique;Corniaux, Christian;Duteurtre, Guillaume;Lhoste, Philippe</t>
  </si>
  <si>
    <t>https://ebookcentral.proquest.com/lib/iuavit/detail.action?docID=6734070</t>
  </si>
  <si>
    <t>Can Organic Agriculture Cope Without Copper for Disease Control? : Synthesis of the Collective Scientific Assessment Report</t>
  </si>
  <si>
    <t>https://ebookcentral.proquest.com/lib/iuavit/detail.action?docID=6734072</t>
  </si>
  <si>
    <t>La Panification Au Levain Naturel : Glossaire des Savoirs</t>
  </si>
  <si>
    <t>Roussel, Philippe;Onno, Bernard;Michel, Elisa;Sicard, Delphine</t>
  </si>
  <si>
    <t>https://ebookcentral.proquest.com/lib/iuavit/detail.action?docID=6734073</t>
  </si>
  <si>
    <t>Lexique Hydrologique Pour L'ingénieur</t>
  </si>
  <si>
    <t>https://ebookcentral.proquest.com/lib/iuavit/detail.action?docID=6734076</t>
  </si>
  <si>
    <t>Les Zoonoses : Ces Maladies Qui Nous Lient Aux Animaux</t>
  </si>
  <si>
    <t>Vourc'h, Gwenaël;Moutou, François;Morand, Serge;Jourdain, Elsa</t>
  </si>
  <si>
    <t>https://ebookcentral.proquest.com/lib/iuavit/detail.action?docID=6734079</t>
  </si>
  <si>
    <t>Eaux et forêts. la forêt : un Outil de Gestion des Eaux ?</t>
  </si>
  <si>
    <t>Lavabre, Jacques;Andréassian, Vazken</t>
  </si>
  <si>
    <t>https://ebookcentral.proquest.com/lib/iuavit/detail.action?docID=6734081</t>
  </si>
  <si>
    <t>Pesticides : Des Impacts Aux Changements de Pratiques</t>
  </si>
  <si>
    <t>Charbonnier, Edwige;Ronceux, Aïcha;Carpentier, Anne-Sophie;Soubelet, Hélène;Barriuso, Enrique</t>
  </si>
  <si>
    <t>https://ebookcentral.proquest.com/lib/iuavit/detail.action?docID=6734087</t>
  </si>
  <si>
    <t>Artificialized Land and Land Take : Drivers, Impacts and Potential Responses</t>
  </si>
  <si>
    <t>https://ebookcentral.proquest.com/lib/iuavit/detail.action?docID=6734088</t>
  </si>
  <si>
    <t>Innovation and Development in Agricultural and Food Systems</t>
  </si>
  <si>
    <t>https://ebookcentral.proquest.com/lib/iuavit/detail.action?docID=6734099</t>
  </si>
  <si>
    <t>L' influence Humaine Dans l'origine des Crues : État de l'art et Actes du Colloque</t>
  </si>
  <si>
    <t>Leblois, Étienne</t>
  </si>
  <si>
    <t>https://ebookcentral.proquest.com/lib/iuavit/detail.action?docID=6734100</t>
  </si>
  <si>
    <t>La Systémique Agraire à L'INRA : Histoire d'une Dissidence</t>
  </si>
  <si>
    <t>Cornu, Pierre</t>
  </si>
  <si>
    <t>https://ebookcentral.proquest.com/lib/iuavit/detail.action?docID=6734220</t>
  </si>
  <si>
    <t>New Directions in the History of the Jews in the Polish Lands</t>
  </si>
  <si>
    <t>Polonsky, Antony;Węgrzynek, Hanna;Żbikowski, Andrzej</t>
  </si>
  <si>
    <t>943.8/004924</t>
  </si>
  <si>
    <t>https://ebookcentral.proquest.com/lib/iuavit/detail.action?docID=6734292</t>
  </si>
  <si>
    <t>Neighbourhoods in Transition : Brownfield Regeneration in European Metropolitan Areas</t>
  </si>
  <si>
    <t>Rey, Emmanuel;Laprise, Martine;Lufkin, Sophie</t>
  </si>
  <si>
    <t>https://ebookcentral.proquest.com/lib/iuavit/detail.action?docID=6734438</t>
  </si>
  <si>
    <t>The Persistence of Memory : Remembering Slavery in Liverpool, 'slaving Capital of the World'</t>
  </si>
  <si>
    <t>Moody, Jessica</t>
  </si>
  <si>
    <t>https://ebookcentral.proquest.com/lib/iuavit/detail.action?docID=6734874</t>
  </si>
  <si>
    <t>Reconstructing Public Housing : Liverpool's Hidden History of Collective Alternatives</t>
  </si>
  <si>
    <t>Thompson, Matthew</t>
  </si>
  <si>
    <t>https://ebookcentral.proquest.com/lib/iuavit/detail.action?docID=6734877</t>
  </si>
  <si>
    <t>A Stage of Emancipation : Change and Progress at the Dublin Gate Theatre</t>
  </si>
  <si>
    <t>Corporaal, Marguérite;Ruud, Ruud van</t>
  </si>
  <si>
    <t>https://ebookcentral.proquest.com/lib/iuavit/detail.action?docID=6734878</t>
  </si>
  <si>
    <t>From Slavery to Civil Rights : On the Streetcars of New Orleans 1830s-Present</t>
  </si>
  <si>
    <t>McLaughlin-Stonham, Hilary</t>
  </si>
  <si>
    <t>https://ebookcentral.proquest.com/lib/iuavit/detail.action?docID=6734879</t>
  </si>
  <si>
    <t>Abrahamic Reflections on Randomness and Providence</t>
  </si>
  <si>
    <t>Clark, Kelly James;Koperski, Jeffrey</t>
  </si>
  <si>
    <t>BL41</t>
  </si>
  <si>
    <t>https://ebookcentral.proquest.com/lib/iuavit/detail.action?docID=6735989</t>
  </si>
  <si>
    <t>Preparing for Digital Disruption</t>
  </si>
  <si>
    <t>Schrijvers, Erik;Prins, Corien;Passchier, Reijer</t>
  </si>
  <si>
    <t>https://ebookcentral.proquest.com/lib/iuavit/detail.action?docID=6736371</t>
  </si>
  <si>
    <t>Negotiating Climate Change in Crisis</t>
  </si>
  <si>
    <t>Böhm, Steffen;Sullivan, Sian</t>
  </si>
  <si>
    <t>Science; Environmental Studies; Science: Physics</t>
  </si>
  <si>
    <t>QC903</t>
  </si>
  <si>
    <t>Climatic changes--Social aspects. ; Climatic changes--Economic aspects. ; Globalization--Environmental aspects.</t>
  </si>
  <si>
    <t>https://ebookcentral.proquest.com/lib/iuavit/detail.action?docID=6736742</t>
  </si>
  <si>
    <t>Consensus or Conflict? : China and Globalization in the 21st Century</t>
  </si>
  <si>
    <t>Wang, Huiyao;Michie, Alistair</t>
  </si>
  <si>
    <t>https://ebookcentral.proquest.com/lib/iuavit/detail.action?docID=6736833</t>
  </si>
  <si>
    <t>Spillways on River Levees</t>
  </si>
  <si>
    <t>Degoutte, Gérard;Tourment, Rémy</t>
  </si>
  <si>
    <t>Engineering: Civil</t>
  </si>
  <si>
    <t>https://ebookcentral.proquest.com/lib/iuavit/detail.action?docID=6737898</t>
  </si>
  <si>
    <t>Critical Landscape Planning During the Belt and Road Initiative</t>
  </si>
  <si>
    <t>Kelly, Ashley Scott;Lu, Xiaoxuan</t>
  </si>
  <si>
    <t>Social Science; Geography/Travel; Architecture</t>
  </si>
  <si>
    <t>https://ebookcentral.proquest.com/lib/iuavit/detail.action?docID=6737997</t>
  </si>
  <si>
    <t>Global Pathways to Education : Cultural Spheres, Networks, and International Organizations</t>
  </si>
  <si>
    <t>Martens, Kerstin;Windzio, Michael</t>
  </si>
  <si>
    <t>HV70-72</t>
  </si>
  <si>
    <t>https://ebookcentral.proquest.com/lib/iuavit/detail.action?docID=6738886</t>
  </si>
  <si>
    <t>Evidence-Based School Development in Changing Demographic Contexts</t>
  </si>
  <si>
    <t>Ylimaki, Rose M.;Brunderman, Lynnette A.</t>
  </si>
  <si>
    <t>https://ebookcentral.proquest.com/lib/iuavit/detail.action?docID=6738887</t>
  </si>
  <si>
    <t>Mobile Edge Computing</t>
  </si>
  <si>
    <t>Zhang, Yan</t>
  </si>
  <si>
    <t>https://ebookcentral.proquest.com/lib/iuavit/detail.action?docID=6739189</t>
  </si>
  <si>
    <t>Chinese Water Systems : Volume 4: Applied Water Management in China</t>
  </si>
  <si>
    <t>Dohmann, Max;Grambow, Martin;Song, Yonghui;Wermter, Paul</t>
  </si>
  <si>
    <t>TD785-812.5</t>
  </si>
  <si>
    <t>https://ebookcentral.proquest.com/lib/iuavit/detail.action?docID=6739190</t>
  </si>
  <si>
    <t>The Life of Breath in Literature, Culture and Medicine : Classical to Contemporary</t>
  </si>
  <si>
    <t>Fuller, David;Saunders, Corinne;Macnaughton, Jane</t>
  </si>
  <si>
    <t>PN851-884</t>
  </si>
  <si>
    <t>https://ebookcentral.proquest.com/lib/iuavit/detail.action?docID=6739191</t>
  </si>
  <si>
    <t>Analyse Von Transferprozessen in der Entwicklung des Bruchzahlbegriffs : Theoretische Rahmung und Empirische Untersuchung</t>
  </si>
  <si>
    <t>Kollhoff, Sebastian</t>
  </si>
  <si>
    <t>https://ebookcentral.proquest.com/lib/iuavit/detail.action?docID=6741290</t>
  </si>
  <si>
    <t>Yosano Akiko and the Tale of Genji</t>
  </si>
  <si>
    <t>Rowley, G.;Rowley, Gaye</t>
  </si>
  <si>
    <t>PL819</t>
  </si>
  <si>
    <t>895.6/144</t>
  </si>
  <si>
    <t>https://ebookcentral.proquest.com/lib/iuavit/detail.action?docID=6743487</t>
  </si>
  <si>
    <t>Appropriation and Representation : Feng Menglong and the Chinese Vernacular Story</t>
  </si>
  <si>
    <t>Yang, Shuhui</t>
  </si>
  <si>
    <t>PL2698</t>
  </si>
  <si>
    <t>895.1/34609</t>
  </si>
  <si>
    <t>https://ebookcentral.proquest.com/lib/iuavit/detail.action?docID=6743488</t>
  </si>
  <si>
    <t>The Matrix of Lyric Transformation : Poetic Modes and Self-Presentation in Early Chinese Pentasyllabic Poetry</t>
  </si>
  <si>
    <t>Cai, Zong-qi;Cai, Zong-qu</t>
  </si>
  <si>
    <t>PL2308</t>
  </si>
  <si>
    <t>https://ebookcentral.proquest.com/lib/iuavit/detail.action?docID=6743489</t>
  </si>
  <si>
    <t>Nineteenth-Century China : Five Imperialist Perspectives</t>
  </si>
  <si>
    <t>Basu, Dilip;Murphey, Rhoads</t>
  </si>
  <si>
    <t>https://ebookcentral.proquest.com/lib/iuavit/detail.action?docID=6743490</t>
  </si>
  <si>
    <t>Dances with Sheep : The Quest for Identity in the Fiction of Murakami Haruki</t>
  </si>
  <si>
    <t>Strecher, Matthew</t>
  </si>
  <si>
    <t>PL856</t>
  </si>
  <si>
    <t>895.6/35</t>
  </si>
  <si>
    <t>https://ebookcentral.proquest.com/lib/iuavit/detail.action?docID=6743491</t>
  </si>
  <si>
    <t>Career Patterns in the Ch'ing Dynasty : The Office of the Governor General</t>
  </si>
  <si>
    <t>Chu, Raymond;Saywell, William</t>
  </si>
  <si>
    <t>JQ1519</t>
  </si>
  <si>
    <t>354.5103/16/09</t>
  </si>
  <si>
    <t>https://ebookcentral.proquest.com/lib/iuavit/detail.action?docID=6743492</t>
  </si>
  <si>
    <t>Political Leadership in Contemporary Japan</t>
  </si>
  <si>
    <t>MacDougall, Terry</t>
  </si>
  <si>
    <t>JQ1698</t>
  </si>
  <si>
    <t>https://ebookcentral.proquest.com/lib/iuavit/detail.action?docID=6743494</t>
  </si>
  <si>
    <t>Critical Studies in Indian Grammarians I : The Theory of Homogeneity (Savar?ya)</t>
  </si>
  <si>
    <t>Deshpande, Madhav</t>
  </si>
  <si>
    <t>PK677</t>
  </si>
  <si>
    <t>https://ebookcentral.proquest.com/lib/iuavit/detail.action?docID=6743495</t>
  </si>
  <si>
    <t>Chinese Domestic Politics and Foreign Policy in The 1970s</t>
  </si>
  <si>
    <t>Whiting, Allen S.</t>
  </si>
  <si>
    <t>DS777</t>
  </si>
  <si>
    <t>https://ebookcentral.proquest.com/lib/iuavit/detail.action?docID=6743496</t>
  </si>
  <si>
    <t>A Translation of Lao-Tzu's Tao Te Ching and Wang Pi's Commentary</t>
  </si>
  <si>
    <t>Lin, Paul</t>
  </si>
  <si>
    <t>https://ebookcentral.proquest.com/lib/iuavit/detail.action?docID=6743497</t>
  </si>
  <si>
    <t>The Ming Dynasty : Its Origins and Evolving Institutions</t>
  </si>
  <si>
    <t>Hucker, Charles</t>
  </si>
  <si>
    <t>DS753</t>
  </si>
  <si>
    <t>https://ebookcentral.proquest.com/lib/iuavit/detail.action?docID=6743498</t>
  </si>
  <si>
    <t>Conversations with Shotetsu</t>
  </si>
  <si>
    <t>Brower, Robert;Carter, Steven</t>
  </si>
  <si>
    <t>PL792</t>
  </si>
  <si>
    <t>https://ebookcentral.proquest.com/lib/iuavit/detail.action?docID=6743500</t>
  </si>
  <si>
    <t>Transformations of Sensibility : The Phenomenology of Meiji Literature</t>
  </si>
  <si>
    <t>Kamei, Hideo;Bourdaghs, Michael K.</t>
  </si>
  <si>
    <t>PL726</t>
  </si>
  <si>
    <t>https://ebookcentral.proquest.com/lib/iuavit/detail.action?docID=6743501</t>
  </si>
  <si>
    <t>Imagination Without Borders : Feminist Artist Tomiyama Taeko and Social Responsibility</t>
  </si>
  <si>
    <t>Hein, Laura;Jennison, Rebecca</t>
  </si>
  <si>
    <t>N7359</t>
  </si>
  <si>
    <t>https://ebookcentral.proquest.com/lib/iuavit/detail.action?docID=6743502</t>
  </si>
  <si>
    <t>Reaction to World News Events and the Influence of Mass Media in an Indian Village</t>
  </si>
  <si>
    <t>Poffenberger, Thomas;Poffenberger, Shirley B.</t>
  </si>
  <si>
    <t>301.16/1</t>
  </si>
  <si>
    <t>https://ebookcentral.proquest.com/lib/iuavit/detail.action?docID=6743503</t>
  </si>
  <si>
    <t>Doctoral Dissertations on South Asia, 1966-1970 : An Annotated Bibliography Covering North America, Europe, and Australia</t>
  </si>
  <si>
    <t>Shulman, Frank Joseph</t>
  </si>
  <si>
    <t>https://ebookcentral.proquest.com/lib/iuavit/detail.action?docID=6743504</t>
  </si>
  <si>
    <t>Tales of Times Now Past : Sixty-Two Stories from a Medieval Japanese Collection</t>
  </si>
  <si>
    <t>Ury, Marian</t>
  </si>
  <si>
    <t>PL787</t>
  </si>
  <si>
    <t>895.6/31/08</t>
  </si>
  <si>
    <t>https://ebookcentral.proquest.com/lib/iuavit/detail.action?docID=6743505</t>
  </si>
  <si>
    <t>Labor and the Chinese Revolution : Class Strategies and Contradictions of Chinese Communism, 1928-1948</t>
  </si>
  <si>
    <t>HX417</t>
  </si>
  <si>
    <t>https://ebookcentral.proquest.com/lib/iuavit/detail.action?docID=6743506</t>
  </si>
  <si>
    <t>Conflicting Counsels to Confuse the Age : A Documentary Study of Political Economy in Qing China, 1644-1840</t>
  </si>
  <si>
    <t>Dunstan, Helen</t>
  </si>
  <si>
    <t>HC427</t>
  </si>
  <si>
    <t>https://ebookcentral.proquest.com/lib/iuavit/detail.action?docID=6743507</t>
  </si>
  <si>
    <t>Educated Youth and the Cultural Revolution in China</t>
  </si>
  <si>
    <t>Singer, Martin</t>
  </si>
  <si>
    <t>LA1133</t>
  </si>
  <si>
    <t>https://ebookcentral.proquest.com/lib/iuavit/detail.action?docID=6743508</t>
  </si>
  <si>
    <t>Chang Ch'un-Ch'iao and Shanghai's January Revolution</t>
  </si>
  <si>
    <t>Walder, Andrew</t>
  </si>
  <si>
    <t>DS796</t>
  </si>
  <si>
    <t>https://ebookcentral.proquest.com/lib/iuavit/detail.action?docID=6743509</t>
  </si>
  <si>
    <t>Collective Decision Making in Rural Japan</t>
  </si>
  <si>
    <t>Marshall, Robert</t>
  </si>
  <si>
    <t>HN730</t>
  </si>
  <si>
    <t>302.3/0952/16</t>
  </si>
  <si>
    <t>https://ebookcentral.proquest.com/lib/iuavit/detail.action?docID=6743510</t>
  </si>
  <si>
    <t>The American and Japanese Auto Industries in Transition : Report of the Joint U. S. -Japan Automotive Study</t>
  </si>
  <si>
    <t>Cole, Robert;Yakushiji, Taizo</t>
  </si>
  <si>
    <t>https://ebookcentral.proquest.com/lib/iuavit/detail.action?docID=6743511</t>
  </si>
  <si>
    <t>A History of Japan's Government-Business Relationship : The Passenger Car Industry</t>
  </si>
  <si>
    <t>Genther, Phyllis</t>
  </si>
  <si>
    <t>338.4/76292/0952</t>
  </si>
  <si>
    <t>https://ebookcentral.proquest.com/lib/iuavit/detail.action?docID=6743512</t>
  </si>
  <si>
    <t>China's Revolutions and Intergenerational Relations</t>
  </si>
  <si>
    <t>Whyte, Martin</t>
  </si>
  <si>
    <t>HM726</t>
  </si>
  <si>
    <t>https://ebookcentral.proquest.com/lib/iuavit/detail.action?docID=6743513</t>
  </si>
  <si>
    <t>Research Guide to People's Daily Editorials, 1949-1975</t>
  </si>
  <si>
    <t>Oksenberg, Michel;Henderson, Gail</t>
  </si>
  <si>
    <t>AI21</t>
  </si>
  <si>
    <t>https://ebookcentral.proquest.com/lib/iuavit/detail.action?docID=6743514</t>
  </si>
  <si>
    <t>Women and Public Life in Early Meiji Japan : The Development of the Feminist Movement</t>
  </si>
  <si>
    <t>Patessio, Mara</t>
  </si>
  <si>
    <t>HQ1762</t>
  </si>
  <si>
    <t>305.48/8956009034</t>
  </si>
  <si>
    <t>https://ebookcentral.proquest.com/lib/iuavit/detail.action?docID=6743515</t>
  </si>
  <si>
    <t>Change and the Persistence of Tradition in India : Five Lectures</t>
  </si>
  <si>
    <t>Park, Richard</t>
  </si>
  <si>
    <t>https://ebookcentral.proquest.com/lib/iuavit/detail.action?docID=6743516</t>
  </si>
  <si>
    <t>International Experience in Developing the Financial Resources of Universities</t>
  </si>
  <si>
    <t>AI-Youbi, Abdulrahman Obaid;Zahed, Adnan Hamza Mohammad;Atalar, Abdullah</t>
  </si>
  <si>
    <t>LC65-67.68</t>
  </si>
  <si>
    <t>https://ebookcentral.proquest.com/lib/iuavit/detail.action?docID=6743520</t>
  </si>
  <si>
    <t>Addressing the Climate Crisis : Local Action in Theory and Practice</t>
  </si>
  <si>
    <t>Howarth, Candice;Lane, Matthew;Slevin, Amanda</t>
  </si>
  <si>
    <t>GE40-45</t>
  </si>
  <si>
    <t>https://ebookcentral.proquest.com/lib/iuavit/detail.action?docID=6743521</t>
  </si>
  <si>
    <t>University and School Collaborations During a Pandemic : Sustaining Educational Opportunity and Reinventing Education</t>
  </si>
  <si>
    <t>Reimers, Fernando M.;Marmolejo, Francisco J.</t>
  </si>
  <si>
    <t>https://ebookcentral.proquest.com/lib/iuavit/detail.action?docID=6743522</t>
  </si>
  <si>
    <t>Nachhaltige Entwicklung in Einer Gesellschaft des Umbruchs</t>
  </si>
  <si>
    <t>Blättel-Mink, Birgit;Hickler, Thomas;Küster, Sybille;Becker, Henrike</t>
  </si>
  <si>
    <t>https://ebookcentral.proquest.com/lib/iuavit/detail.action?docID=6743523</t>
  </si>
  <si>
    <t>La Montée du Niveau de la Mer D'ici 2100 : Scénarios et Conséquences</t>
  </si>
  <si>
    <t>Lacroix, Denis;Mora, Olivier;de Menthière, Nicolas;Béthinger, Audrey</t>
  </si>
  <si>
    <t>Science: General; Environmental Studies</t>
  </si>
  <si>
    <t>https://ebookcentral.proquest.com/lib/iuavit/detail.action?docID=6745245</t>
  </si>
  <si>
    <t>The Prehistoric Maritime Frontier of Southeast China : Indigenous Bai Yue and Their Oceanic Dispersal</t>
  </si>
  <si>
    <t>Wu, Chunming</t>
  </si>
  <si>
    <t>CC77.U5</t>
  </si>
  <si>
    <t>https://ebookcentral.proquest.com/lib/iuavit/detail.action?docID=6745788</t>
  </si>
  <si>
    <t>AVENUE21. Connected and Automated Driving: Prospects for Urban Europe</t>
  </si>
  <si>
    <t>https://ebookcentral.proquest.com/lib/iuavit/detail.action?docID=6747568</t>
  </si>
  <si>
    <t>Protecting the Fatherland: Lawsuits and Political Debates in Jülich, Hesse-Cassel and Brittany (1642-1655)</t>
  </si>
  <si>
    <t>Romein, Christel Annemieke</t>
  </si>
  <si>
    <t>K201-487</t>
  </si>
  <si>
    <t>https://ebookcentral.proquest.com/lib/iuavit/detail.action?docID=6747838</t>
  </si>
  <si>
    <t>Microplastic in the Environment: Pattern and Process</t>
  </si>
  <si>
    <t>Bank, Michael S.</t>
  </si>
  <si>
    <t>https://ebookcentral.proquest.com/lib/iuavit/detail.action?docID=6747976</t>
  </si>
  <si>
    <t>African Land Reform under Economic Liberalisation : States, Chiefs, and Rural Communities</t>
  </si>
  <si>
    <t>Takeuchi, Shinichi</t>
  </si>
  <si>
    <t>https://ebookcentral.proquest.com/lib/iuavit/detail.action?docID=6748746</t>
  </si>
  <si>
    <t>Wadi Flash Floods : Challenges and Advanced Approaches for Disaster Risk Reduction</t>
  </si>
  <si>
    <t>Sumi, Tetsuya;Kantoush, Sameh A.;Saber, Mohamed</t>
  </si>
  <si>
    <t>https://ebookcentral.proquest.com/lib/iuavit/detail.action?docID=6749215</t>
  </si>
  <si>
    <t>Datenreiche Medizin und das Problem der Einwilligung : Ethische, Rechtliche und Sozialwissenschaftliche Perspektiven</t>
  </si>
  <si>
    <t>Richter, Gesine;Loh, Wulf;Buyx, Alena;Graf von Kielmansegg, Sebastian</t>
  </si>
  <si>
    <t>https://ebookcentral.proquest.com/lib/iuavit/detail.action?docID=6749216</t>
  </si>
  <si>
    <t>Umrisse Einer Dritten Kultur Im Interdisziplinären Zusammenspiel Zwischen Literatur und Naturwissenschaft : Jahrbuch des Instituts Für Moderne Fremdsprachen an der Naturwissenschaftlich-Technischen Universität Norwegens (NTNU) in Trondheim</t>
  </si>
  <si>
    <t>Neumann, Bernd</t>
  </si>
  <si>
    <t>PN770-779</t>
  </si>
  <si>
    <t>https://ebookcentral.proquest.com/lib/iuavit/detail.action?docID=6749217</t>
  </si>
  <si>
    <t>The New Politics of Numbers : Utopia, Evidence and Democracy</t>
  </si>
  <si>
    <t>Mennicken, Andrea;Salais, Robert</t>
  </si>
  <si>
    <t>JF251-289</t>
  </si>
  <si>
    <t>https://ebookcentral.proquest.com/lib/iuavit/detail.action?docID=6749218</t>
  </si>
  <si>
    <t>Mastering Uncertainty in Mechanical Engineering</t>
  </si>
  <si>
    <t>Pelz, Peter F.;Groche, Peter;Pfetsch, Marc E.;Schaeffner, Maximilian</t>
  </si>
  <si>
    <t>https://ebookcentral.proquest.com/lib/iuavit/detail.action?docID=6749219</t>
  </si>
  <si>
    <t>Die Formation des literarischen Humors : Ein psychoanalytischer Beitrag zur bürgerlichen Subjektivität</t>
  </si>
  <si>
    <t>transcript</t>
  </si>
  <si>
    <t>Hörhammer, Dieter</t>
  </si>
  <si>
    <t>https://ebookcentral.proquest.com/lib/iuavit/detail.action?docID=6749466</t>
  </si>
  <si>
    <t>Religion und Disability : Behinderung und Befähigung in religiösen Kontexten. Eine religionswissenschaftliche Untersuchung</t>
  </si>
  <si>
    <t>Jelinek-Menke, Ramona</t>
  </si>
  <si>
    <t>https://ebookcentral.proquest.com/lib/iuavit/detail.action?docID=6749647</t>
  </si>
  <si>
    <t>Aufbruch in die Öffentlichkeit? : Reflexionen zum ›public turn‹ in der Religionspädagogik</t>
  </si>
  <si>
    <t>Grümme, Bernhard</t>
  </si>
  <si>
    <t>https://ebookcentral.proquest.com/lib/iuavit/detail.action?docID=6749729</t>
  </si>
  <si>
    <t>Unbegleitete minderjährige Geflüchtete : Ihre Lebenssituationen und Perspektiven in Deutschland</t>
  </si>
  <si>
    <t>Thomas, Stefan;Sauer, Madeleine;Zalewski, Ingmar</t>
  </si>
  <si>
    <t>https://ebookcentral.proquest.com/lib/iuavit/detail.action?docID=6749811</t>
  </si>
  <si>
    <t>Towards Shared Research : Participatory and Integrative Approaches in Researching African Environments</t>
  </si>
  <si>
    <t>Haller, Tobias;Zingerli, Claudia</t>
  </si>
  <si>
    <t>GE90.A35T69 2020</t>
  </si>
  <si>
    <t>https://ebookcentral.proquest.com/lib/iuavit/detail.action?docID=6749889</t>
  </si>
  <si>
    <t>Lehrer_in, Migration und Differenz : Fragen der Zugehörigkeit bei Grundschullehrer_innen der zweiten Einwanderungsgeneration in der Schweiz</t>
  </si>
  <si>
    <t>Mantel, Carola</t>
  </si>
  <si>
    <t>https://ebookcentral.proquest.com/lib/iuavit/detail.action?docID=6749923</t>
  </si>
  <si>
    <t>»Solidarität zuerst« : Zur Neuentdeckung einer politischen Idee</t>
  </si>
  <si>
    <t>Kracht, Hermann-Josef Große</t>
  </si>
  <si>
    <t>https://ebookcentral.proquest.com/lib/iuavit/detail.action?docID=6750107</t>
  </si>
  <si>
    <t>Kämpfe um Migrationspolitik seit 2015 : Zur Transformation des europäischen Migrationsregimes</t>
  </si>
  <si>
    <t>Buckel, Sonja;Graf, Laura;Kopp, Judith;Löw, Neva;Pichl, Maximilian</t>
  </si>
  <si>
    <t>https://ebookcentral.proquest.com/lib/iuavit/detail.action?docID=6750294</t>
  </si>
  <si>
    <t>Narrative Mechanics : Strategies and Meanings in Games and Real Life</t>
  </si>
  <si>
    <t>Suter, Beat;Bauer, René;Kocher, Mela</t>
  </si>
  <si>
    <t>https://ebookcentral.proquest.com/lib/iuavit/detail.action?docID=6750315</t>
  </si>
  <si>
    <t>Jahrbuch Für Kulturpolitik 2019/20 : Kultur. Macht. Heimaten. Heimat Als Kulturpolitische Herausforderung</t>
  </si>
  <si>
    <t>Sievers, Norbert;Blumenreich, Ulrike;Dengel, Sabine;Wingert, Christine</t>
  </si>
  <si>
    <t>https://ebookcentral.proquest.com/lib/iuavit/detail.action?docID=6750333</t>
  </si>
  <si>
    <t>Religion in der Schule : Pädagogische Praxis zwischen Diskriminierung und Anerkennung</t>
  </si>
  <si>
    <t>Willems, Joachim</t>
  </si>
  <si>
    <t>https://ebookcentral.proquest.com/lib/iuavit/detail.action?docID=6750416</t>
  </si>
  <si>
    <t>Frei, fair und lebendig - Die Macht der Commons</t>
  </si>
  <si>
    <t>https://ebookcentral.proquest.com/lib/iuavit/detail.action?docID=6750483</t>
  </si>
  <si>
    <t>Mediated Bordering : Eurosur, the Refugee Boat, and the Construction of an External EU Border</t>
  </si>
  <si>
    <t>Ellebrecht, Sabrina</t>
  </si>
  <si>
    <t>JN30.E37 2020</t>
  </si>
  <si>
    <t>https://ebookcentral.proquest.com/lib/iuavit/detail.action?docID=6750588</t>
  </si>
  <si>
    <t>Transnationalizing Radio Research : New Approaches to an Old Medium</t>
  </si>
  <si>
    <t>Föllmer, Golo;Badenoch, Alexander</t>
  </si>
  <si>
    <t>https://ebookcentral.proquest.com/lib/iuavit/detail.action?docID=6750638</t>
  </si>
  <si>
    <t>Jahrbuch Migration und Gesellschaft / Yearbook Migration and Society 2020/2021 : Schwerpunkt »Beyond Borders«</t>
  </si>
  <si>
    <t>Peterlini, Hans Karl;Donlic, Jasmin</t>
  </si>
  <si>
    <t>https://ebookcentral.proquest.com/lib/iuavit/detail.action?docID=6750643</t>
  </si>
  <si>
    <t>Warum treffen sich soziale Bewegungen? : Vom Wert der Begegnung: Interaktionssoziologische Perspektiven auf das Weltsozialforum</t>
  </si>
  <si>
    <t>Manthe, Rainald</t>
  </si>
  <si>
    <t>https://ebookcentral.proquest.com/lib/iuavit/detail.action?docID=6750671</t>
  </si>
  <si>
    <t>The Democratization of Artificial Intelligence : Net Politics in the Era of Learning Algorithms</t>
  </si>
  <si>
    <t>Sudmann, Andreas</t>
  </si>
  <si>
    <t>https://ebookcentral.proquest.com/lib/iuavit/detail.action?docID=6750672</t>
  </si>
  <si>
    <t>Maritime Poetics : From Coast to Hinterland</t>
  </si>
  <si>
    <t>Gee, Gabriel N.;Wiedmer, Caroline</t>
  </si>
  <si>
    <t>https://ebookcentral.proquest.com/lib/iuavit/detail.action?docID=6750675</t>
  </si>
  <si>
    <t>Historisches Lernen und Materielle Kultur : Von Dingen und Objekten in der Geschichtsdidaktik</t>
  </si>
  <si>
    <t>Barsch, Sebastian;Norden, Jörg van</t>
  </si>
  <si>
    <t>https://ebookcentral.proquest.com/lib/iuavit/detail.action?docID=6750727</t>
  </si>
  <si>
    <t>Student und Demokratie : Das politische Potenzial deutscher Studierender in Geschichte und Gegenwart</t>
  </si>
  <si>
    <t>Schenke, Julian</t>
  </si>
  <si>
    <t>LA728.7.S333 2020</t>
  </si>
  <si>
    <t>https://ebookcentral.proquest.com/lib/iuavit/detail.action?docID=6750764</t>
  </si>
  <si>
    <t>Sterbeorte : Über eine neue Sichtbarkeit des Sterbens in der Architektur</t>
  </si>
  <si>
    <t>Voigt, Katharina</t>
  </si>
  <si>
    <t>https://ebookcentral.proquest.com/lib/iuavit/detail.action?docID=6750765</t>
  </si>
  <si>
    <t>The Decline of Marriage in Namibia : Kinship and Social Class in a Rural Community</t>
  </si>
  <si>
    <t>Pauli, Julia</t>
  </si>
  <si>
    <t>https://ebookcentral.proquest.com/lib/iuavit/detail.action?docID=6750891</t>
  </si>
  <si>
    <t>Imagined Economies - Real Fictions : New Perspectives on Economic Thinking in Great Britain</t>
  </si>
  <si>
    <t>Fischer, Jessica;Stedman, Gesa</t>
  </si>
  <si>
    <t>https://ebookcentral.proquest.com/lib/iuavit/detail.action?docID=6751002</t>
  </si>
  <si>
    <t>Curating Contemporary Music Festivals : A New Perspective on Music's Mediation</t>
  </si>
  <si>
    <t>Farnsworth, Brandon</t>
  </si>
  <si>
    <t>https://ebookcentral.proquest.com/lib/iuavit/detail.action?docID=6751046</t>
  </si>
  <si>
    <t>Politiken der Generativität : Reproduktive Gesundheit, Bevölkerung und Geschlecht. Das Beispiel der Weltgesundheitsorganisation</t>
  </si>
  <si>
    <t>Schutzbach, Franziska</t>
  </si>
  <si>
    <t>https://ebookcentral.proquest.com/lib/iuavit/detail.action?docID=6751059</t>
  </si>
  <si>
    <t>Nationale Hoffnung und konservative Enttäuschung : Zum Wandel des konservativen Nationenverständnisses nach der deutschen Vereinigung</t>
  </si>
  <si>
    <t>Finkbeiner, Florian</t>
  </si>
  <si>
    <t>JC573.2.G3F56 2020</t>
  </si>
  <si>
    <t>https://ebookcentral.proquest.com/lib/iuavit/detail.action?docID=6751064</t>
  </si>
  <si>
    <t>The Bureaucratic Production of Difference : Ethos and Ethics in Migration Administrations</t>
  </si>
  <si>
    <t>Eckert, Julia M.</t>
  </si>
  <si>
    <t>https://ebookcentral.proquest.com/lib/iuavit/detail.action?docID=6751170</t>
  </si>
  <si>
    <t>Sich selbst vergleichen : Zur Relationalität autobiographischen Schreibens vom 12. Jahrhundert bis zur Gegenwart</t>
  </si>
  <si>
    <t>Arlinghaus, Franz-Josef;Erhart, Walter;Gumpert, Lena;Siemianowski, Simon</t>
  </si>
  <si>
    <t>https://ebookcentral.proquest.com/lib/iuavit/detail.action?docID=6751200</t>
  </si>
  <si>
    <t>Reflexive Responsibilisierung : Verantwortung für nachhaltige Entwicklung</t>
  </si>
  <si>
    <t>Henkel, Anna;Lüdtke, Nico;Buschmann, Nikolaus;Hochmann, Lars</t>
  </si>
  <si>
    <t>https://ebookcentral.proquest.com/lib/iuavit/detail.action?docID=6751224</t>
  </si>
  <si>
    <t>Autonomie und Kalkulation : Zur Praxis gesellschaftlicher Ökonomisierung im Gesundheits- und Krankenhauswesen</t>
  </si>
  <si>
    <t>Molzberger, Kaspar</t>
  </si>
  <si>
    <t>https://ebookcentral.proquest.com/lib/iuavit/detail.action?docID=6751348</t>
  </si>
  <si>
    <t>Knowing in Performing : Artistic Research in Music and the Performing Arts</t>
  </si>
  <si>
    <t>Huber, Annegret;Ingrisch, Doris;Kaufmann, Therese;Kretz, Johannes;Schröder, Gesine;Zembylas, Tasos</t>
  </si>
  <si>
    <t>780.72/1</t>
  </si>
  <si>
    <t>https://ebookcentral.proquest.com/lib/iuavit/detail.action?docID=6751396</t>
  </si>
  <si>
    <t>Robotic Knitting : Re-Crafting Human-Robot Collaboration Through Careful Coboting</t>
  </si>
  <si>
    <t>Treusch, Pat</t>
  </si>
  <si>
    <t>https://ebookcentral.proquest.com/lib/iuavit/detail.action?docID=6751405</t>
  </si>
  <si>
    <t>Als Andere unter Anderen : Darstellungen des Füreinander als Weg zur Solidarität</t>
  </si>
  <si>
    <t>Helfritzsch, Paul</t>
  </si>
  <si>
    <t>https://ebookcentral.proquest.com/lib/iuavit/detail.action?docID=6751437</t>
  </si>
  <si>
    <t>Die Gabe als drittes Prinzip zwischen Markt und Staat? : Perspektiven von Marcel Mauss bis zur Gegenwart</t>
  </si>
  <si>
    <t>Frick, Marc</t>
  </si>
  <si>
    <t>https://ebookcentral.proquest.com/lib/iuavit/detail.action?docID=6751477</t>
  </si>
  <si>
    <t>Eingeschlossene Räume : Das Motiv der Box im Film</t>
  </si>
  <si>
    <t>Zettl, Nepomuk</t>
  </si>
  <si>
    <t>https://ebookcentral.proquest.com/lib/iuavit/detail.action?docID=6751646</t>
  </si>
  <si>
    <t>Contested Solidarity : Practices of Refugee Support between Humanitarian Help and Political Activism</t>
  </si>
  <si>
    <t>Fleischmann, Larissa</t>
  </si>
  <si>
    <t>https://ebookcentral.proquest.com/lib/iuavit/detail.action?docID=6751649</t>
  </si>
  <si>
    <t>Großerzählungen des Extremen : Neue Rechte, Populismus, Islamismus, War on Terror</t>
  </si>
  <si>
    <t>Schellhöh, Jennifer;Reichertz, Jo;Heins, Volker M.;Flender, Armin</t>
  </si>
  <si>
    <t>https://ebookcentral.proquest.com/lib/iuavit/detail.action?docID=6751730</t>
  </si>
  <si>
    <t>Private Daten : Unsere Spuren in der digitalen Welt</t>
  </si>
  <si>
    <t>Wiesner, Barbara</t>
  </si>
  <si>
    <t>https://ebookcentral.proquest.com/lib/iuavit/detail.action?docID=6751936</t>
  </si>
  <si>
    <t>Die Berater : Ihr Wirken in Staat und Gesellschaft</t>
  </si>
  <si>
    <t>Rügemer, Werner</t>
  </si>
  <si>
    <t>https://ebookcentral.proquest.com/lib/iuavit/detail.action?docID=6752054</t>
  </si>
  <si>
    <t>Studies in the Arts - Neue Perspektiven auf Forschung über, in und durch Kunst und Design</t>
  </si>
  <si>
    <t>Gartmann, Thomas;Schäuble, Michaela</t>
  </si>
  <si>
    <t>https://ebookcentral.proquest.com/lib/iuavit/detail.action?docID=6752094</t>
  </si>
  <si>
    <t>Kunstlabore: Für mehr Kunst in Schulen! : Ein Ratgeber zur Qualität künstlerischer Arbeit in Schulen</t>
  </si>
  <si>
    <t>Heisig, Julia;Scharf, Ivana;Schönfeld, Heide;Schleicher, Andreas</t>
  </si>
  <si>
    <t>https://ebookcentral.proquest.com/lib/iuavit/detail.action?docID=6752153</t>
  </si>
  <si>
    <t>Judith Butler und die Theologie : Herausforderung und Rezeption</t>
  </si>
  <si>
    <t>Grümme, Bernhard;Werner, Gunda</t>
  </si>
  <si>
    <t>https://ebookcentral.proquest.com/lib/iuavit/detail.action?docID=6752162</t>
  </si>
  <si>
    <t>Fragile Werte : Diskurs und Praxis der Restaurierungswissenschaften 1913-2014</t>
  </si>
  <si>
    <t>Bäschlin, Nathalie</t>
  </si>
  <si>
    <t>https://ebookcentral.proquest.com/lib/iuavit/detail.action?docID=6752170</t>
  </si>
  <si>
    <t>Der literarische Realismus und die illustrierten Printmedien : Literatur im Kontext der Massenmedien und visuellen Kultur des 19. Jahrhunderts</t>
  </si>
  <si>
    <t>Barthold, Willi Wolfgang</t>
  </si>
  <si>
    <t>https://ebookcentral.proquest.com/lib/iuavit/detail.action?docID=6752238</t>
  </si>
  <si>
    <t>Glück und Nachhaltigkeit : Subjektives Wohlbefinden als Leitmotiv für nachhaltige Entwicklung</t>
  </si>
  <si>
    <t>Dallmer, Jochen</t>
  </si>
  <si>
    <t>https://ebookcentral.proquest.com/lib/iuavit/detail.action?docID=6752262</t>
  </si>
  <si>
    <t>Psychische Erkrankungen in der Arbeitswelt : Analysen und Ansätze zur therapeutischen und betrieblichen Bewältigung</t>
  </si>
  <si>
    <t>Alsdorf, Nora;Engelbach, Ute;Flick, Sabine;Haubl, Rolf;Voswinkel, Stephan</t>
  </si>
  <si>
    <t>https://ebookcentral.proquest.com/lib/iuavit/detail.action?docID=6752356</t>
  </si>
  <si>
    <t>Philipp von Huttens Tod in der Neuen Welt : Ein Kriminalfall, der das koloniale Schreiben in Gang setzte</t>
  </si>
  <si>
    <t>Gujer-Bertschinger, Susanne Andrea</t>
  </si>
  <si>
    <t>https://ebookcentral.proquest.com/lib/iuavit/detail.action?docID=6752392</t>
  </si>
  <si>
    <t>Music - Media - History : Re-Thinking Musicology in an Age of Digital Media</t>
  </si>
  <si>
    <t>Santi, Matej;Berner, Elias</t>
  </si>
  <si>
    <t>https://ebookcentral.proquest.com/lib/iuavit/detail.action?docID=6752410</t>
  </si>
  <si>
    <t>Making Democracy - Aushandlungen von Freiheit, Gleichheit und Solidarität im Alltag</t>
  </si>
  <si>
    <t>Rajal, Elke;trafo.K;Marchart, Oliver;Landkammer, Nora;Maier, Carina</t>
  </si>
  <si>
    <t>https://ebookcentral.proquest.com/lib/iuavit/detail.action?docID=6752460</t>
  </si>
  <si>
    <t>Hinter der glitzernden Fassade : Über die Macht der Informalität in der Kaukasusrepublik Aserbaidschan</t>
  </si>
  <si>
    <t>Safiyev, Rail</t>
  </si>
  <si>
    <t>https://ebookcentral.proquest.com/lib/iuavit/detail.action?docID=6752643</t>
  </si>
  <si>
    <t>Monospace and Multiverse : Exploring Space with Actor-Network-Theory</t>
  </si>
  <si>
    <t>Hansmann, Sabine</t>
  </si>
  <si>
    <t>https://ebookcentral.proquest.com/lib/iuavit/detail.action?docID=6752683</t>
  </si>
  <si>
    <t>Islam, Gender, Intersektionalität : Bildungswege junger Frauen in der Schweiz</t>
  </si>
  <si>
    <t>Gasser, Nathalie</t>
  </si>
  <si>
    <t>LC2247.G37 2020</t>
  </si>
  <si>
    <t>https://ebookcentral.proquest.com/lib/iuavit/detail.action?docID=6752765</t>
  </si>
  <si>
    <t>Nachhaltige Lebensführung : Praktiken und Transformationspotenziale gemeinschaftlicher Wohnprojekte</t>
  </si>
  <si>
    <t>Soziologie der Nachhaltigkeit</t>
  </si>
  <si>
    <t>Görgen, Benjamin</t>
  </si>
  <si>
    <t>https://ebookcentral.proquest.com/lib/iuavit/detail.action?docID=6752817</t>
  </si>
  <si>
    <t>Arts in Context - Kunst, Forschung, Gesellschaft</t>
  </si>
  <si>
    <t>Gartmann, Thomas;Pauli, Christian</t>
  </si>
  <si>
    <t>https://ebookcentral.proquest.com/lib/iuavit/detail.action?docID=6752878</t>
  </si>
  <si>
    <t>Re-Cording Lives : Governing Asylum in Switzerland and the Need to Resolve</t>
  </si>
  <si>
    <t>Pörtner, Ephraim</t>
  </si>
  <si>
    <t>https://ebookcentral.proquest.com/lib/iuavit/detail.action?docID=6752904</t>
  </si>
  <si>
    <t>Wikis und die Wikipedia verstehen : Eine Einführung</t>
  </si>
  <si>
    <t>Dijk, Ziko van</t>
  </si>
  <si>
    <t>https://ebookcentral.proquest.com/lib/iuavit/detail.action?docID=6752967</t>
  </si>
  <si>
    <t>Stuttgart 21 - eine Rekonstruktion der Proteste : Soziale Bewegungen in Zeiten der Postdemokratie</t>
  </si>
  <si>
    <t>Staden, Julia von</t>
  </si>
  <si>
    <t>https://ebookcentral.proquest.com/lib/iuavit/detail.action?docID=6753120</t>
  </si>
  <si>
    <t>Postwachstumsgeographien : Raumbezüge diverser und alternativer Ökonomien</t>
  </si>
  <si>
    <t>Lange, Bastian;Hülz, Martina;Schmid, Benedikt;Schulz, Christian</t>
  </si>
  <si>
    <t>https://ebookcentral.proquest.com/lib/iuavit/detail.action?docID=6753123</t>
  </si>
  <si>
    <t>How to Relate : Wissen, Künste, Praktiken / Knowledge, Arts, Practices</t>
  </si>
  <si>
    <t>Haas, Annika;Haas, Maximilian;Magauer, Hanna;Pohl, Dennis</t>
  </si>
  <si>
    <t>https://ebookcentral.proquest.com/lib/iuavit/detail.action?docID=6753189</t>
  </si>
  <si>
    <t>Erdgeschichte(n) und Entwicklungsromane : Geologisches Wissen und Subjektkonstitution in der Poetologie der frühen Moderne. Goethes Wanderjahre und Stifters Nachsommer</t>
  </si>
  <si>
    <t>Schär, Kathrin</t>
  </si>
  <si>
    <t>https://ebookcentral.proquest.com/lib/iuavit/detail.action?docID=6753200</t>
  </si>
  <si>
    <t>Fridays for Future - Die Jugend gegen den Klimawandel : Konturen der weltweiten Protestbewegung</t>
  </si>
  <si>
    <t>Haunss, Sebastian;Sommer, Moritz</t>
  </si>
  <si>
    <t>LB3610.F75 2020</t>
  </si>
  <si>
    <t>https://ebookcentral.proquest.com/lib/iuavit/detail.action?docID=6753232</t>
  </si>
  <si>
    <t>»Wir machen Stoff« : Die Gewerkschaft Textil-Bekleidung 1949-1998</t>
  </si>
  <si>
    <t>Donath, Peter;Szegfü, Annette</t>
  </si>
  <si>
    <t>https://ebookcentral.proquest.com/lib/iuavit/detail.action?docID=6753359</t>
  </si>
  <si>
    <t>Kulturen des Reparierens : Dinge - Wissen - Praktiken</t>
  </si>
  <si>
    <t>Krebs, Stefan;Schabacher, Gabriele;Weber, Heike</t>
  </si>
  <si>
    <t>https://ebookcentral.proquest.com/lib/iuavit/detail.action?docID=6753457</t>
  </si>
  <si>
    <t>War der Coronavirus-Lockdown notwendig? : Versuch einer wissenschaftlichen Antwort</t>
  </si>
  <si>
    <t>Richter, Dirk</t>
  </si>
  <si>
    <t>https://ebookcentral.proquest.com/lib/iuavit/detail.action?docID=6753578</t>
  </si>
  <si>
    <t>Bürgerwehren in Deutschland : Zwischen Nachbarschaftshilfe und rechtsextremer Raumergreifung</t>
  </si>
  <si>
    <t>Bust-Bartels, Nina Marie</t>
  </si>
  <si>
    <t>https://ebookcentral.proquest.com/lib/iuavit/detail.action?docID=6753616</t>
  </si>
  <si>
    <t>Achtsamkeit als kulturelle Praxis : Zu den Selbst-Welt-Modellen eines populären Phänomens</t>
  </si>
  <si>
    <t>Schmidt, Jacob</t>
  </si>
  <si>
    <t>https://ebookcentral.proquest.com/lib/iuavit/detail.action?docID=6753625</t>
  </si>
  <si>
    <t>Friedensgutachten 2021 : Europa kann mehr!</t>
  </si>
  <si>
    <t>BICC Bonn International Centre for Conflict Studies;HSFK Leibniz-Institut Hessische Stiftung Friedens- und Konfliktforschung;IFSH Institut für Friedensforschung und Sicherheitspolitik an der Universität Hamburg;INEF Institut für Entwicklung und Frieden</t>
  </si>
  <si>
    <t>https://ebookcentral.proquest.com/lib/iuavit/detail.action?docID=6753709</t>
  </si>
  <si>
    <t>Epistemische Gewalt : Wissen und Herrschaft in der kolonialen Moderne</t>
  </si>
  <si>
    <t>Brunner, Claudia</t>
  </si>
  <si>
    <t>https://ebookcentral.proquest.com/lib/iuavit/detail.action?docID=6753721</t>
  </si>
  <si>
    <t>Authority and Authorship in Medieval and Seventeenth Century Women's Visionary Writings</t>
  </si>
  <si>
    <t>Frick, Deborah</t>
  </si>
  <si>
    <t>https://ebookcentral.proquest.com/lib/iuavit/detail.action?docID=6753907</t>
  </si>
  <si>
    <t>Religion in Flüchtlingsunterkünften : Sozialanthropologische Perspektiven</t>
  </si>
  <si>
    <t>Powroznik, Natalie</t>
  </si>
  <si>
    <t>https://ebookcentral.proquest.com/lib/iuavit/detail.action?docID=6753948</t>
  </si>
  <si>
    <t>»Verworfene Frauenzimmer« : Geschlecht als Kategorie des Wissens vor dem Strafgericht</t>
  </si>
  <si>
    <t>Grütter, Melanie</t>
  </si>
  <si>
    <t>https://ebookcentral.proquest.com/lib/iuavit/detail.action?docID=6754027</t>
  </si>
  <si>
    <t>Das zweite konvivialistische Manifest : Für eine post-neoliberale Welt</t>
  </si>
  <si>
    <t>Die konvivialistische Internationale;Halfbrodt, Michael</t>
  </si>
  <si>
    <t>https://ebookcentral.proquest.com/lib/iuavit/detail.action?docID=6754031</t>
  </si>
  <si>
    <t>Politik in Fernsehserien : Analysen und Fallstudien zu House of Cards, Borgen &amp; Co.</t>
  </si>
  <si>
    <t>Switek, Niko</t>
  </si>
  <si>
    <t>https://ebookcentral.proquest.com/lib/iuavit/detail.action?docID=6754117</t>
  </si>
  <si>
    <t>Zeit im Lebensverlauf : Ein Glossar</t>
  </si>
  <si>
    <t>Schinkel, Sebastian;Hösel, Fanny;Köhler, Sina-Mareen;König, Alexandra;Schilling, Elisabeth;Schreiber, Julia;Soremski, Regina;Zschach, Maren</t>
  </si>
  <si>
    <t>https://ebookcentral.proquest.com/lib/iuavit/detail.action?docID=6754158</t>
  </si>
  <si>
    <t>Die Produktion der Konsumgesellschaft : Eine kulturökonomische Grundlegung der feinen Unterschiede</t>
  </si>
  <si>
    <t>Mohr, Ernst</t>
  </si>
  <si>
    <t>https://ebookcentral.proquest.com/lib/iuavit/detail.action?docID=6754232</t>
  </si>
  <si>
    <t>After Confucius : Studies in Early Chinese Philosophy</t>
  </si>
  <si>
    <t>University of Hawaii Press</t>
  </si>
  <si>
    <t>Goldin, Paul R.</t>
  </si>
  <si>
    <t>181/.11</t>
  </si>
  <si>
    <t>https://ebookcentral.proquest.com/lib/iuavit/detail.action?docID=6754286</t>
  </si>
  <si>
    <t>The New Meatways and Sustainability : Discourses and Social Practices</t>
  </si>
  <si>
    <t>Kanerva, Minna</t>
  </si>
  <si>
    <t>https://ebookcentral.proquest.com/lib/iuavit/detail.action?docID=6754564</t>
  </si>
  <si>
    <t>Democratic Citizenship in Flux : Conceptions of Citizenship in the Light of Political and Social Fragmentation</t>
  </si>
  <si>
    <t>Bayer, Markus;Schwarz, Oliver;Stark, Toralf</t>
  </si>
  <si>
    <t>https://ebookcentral.proquest.com/lib/iuavit/detail.action?docID=6754585</t>
  </si>
  <si>
    <t>Im Rauschen der Schweizer Alpen : Eine auditive Ethnographie zu Klang und Kulturpolitik des internationalen Radios</t>
  </si>
  <si>
    <t>Jäggi, Patricia</t>
  </si>
  <si>
    <t>https://ebookcentral.proquest.com/lib/iuavit/detail.action?docID=6754848</t>
  </si>
  <si>
    <t>Judith Butler und die Theologie der Freiheit</t>
  </si>
  <si>
    <t>Werner, Gunda</t>
  </si>
  <si>
    <t>BT810.3.W44 2021</t>
  </si>
  <si>
    <t>https://ebookcentral.proquest.com/lib/iuavit/detail.action?docID=6754871</t>
  </si>
  <si>
    <t>Religiöse Pluralitäten - Umbrüche in der Wahrnehmung religiöser Vielfalt in Deutschland</t>
  </si>
  <si>
    <t>Klinkhammer, Gritt;Neumaier, Anna</t>
  </si>
  <si>
    <t>https://ebookcentral.proquest.com/lib/iuavit/detail.action?docID=6754901</t>
  </si>
  <si>
    <t>Wagner - Weimar - Eisenach : Richard Wagner im Spannungsfeld von Kultur und Politik</t>
  </si>
  <si>
    <t>Geyer, Helen;Georgiev, Kiril;Alschner, Stefan</t>
  </si>
  <si>
    <t>https://ebookcentral.proquest.com/lib/iuavit/detail.action?docID=6754953</t>
  </si>
  <si>
    <t>Hegemonie und Kulturkampf : Verknüpfung von Neoliberalismus und Islam in der Türkei</t>
  </si>
  <si>
    <t>Babacan, Errol</t>
  </si>
  <si>
    <t>https://ebookcentral.proquest.com/lib/iuavit/detail.action?docID=6754966</t>
  </si>
  <si>
    <t>Achtsamkeit und Meditation im Hochschulkontext : 10 Jahre Münchner Modell</t>
  </si>
  <si>
    <t>Bruin, Andreas de</t>
  </si>
  <si>
    <t>https://ebookcentral.proquest.com/lib/iuavit/detail.action?docID=6755145</t>
  </si>
  <si>
    <t>Mindfulness and Meditation at University : 10 Years of the Munich Model</t>
  </si>
  <si>
    <t>https://ebookcentral.proquest.com/lib/iuavit/detail.action?docID=6755253</t>
  </si>
  <si>
    <t>Material Cultures of Psychiatry</t>
  </si>
  <si>
    <t>Ankele, Monika;Majerus, Benoît</t>
  </si>
  <si>
    <t>RC454.4.M377 2020</t>
  </si>
  <si>
    <t>https://ebookcentral.proquest.com/lib/iuavit/detail.action?docID=6755439</t>
  </si>
  <si>
    <t>Normalität und Subjektivierung : Eine biographische Untersuchung im Übergang aus der stationären Jugendhilfe</t>
  </si>
  <si>
    <t>Rein, Angela</t>
  </si>
  <si>
    <t>https://ebookcentral.proquest.com/lib/iuavit/detail.action?docID=6755449</t>
  </si>
  <si>
    <t>Arbeit an der Kultur : Margaret Mead, Gregory Bateson und die amerikanische Anthropologie, 1930-1950</t>
  </si>
  <si>
    <t>Neidhöfer, Thilo</t>
  </si>
  <si>
    <t>https://ebookcentral.proquest.com/lib/iuavit/detail.action?docID=6755569</t>
  </si>
  <si>
    <t>Wahrheit und Revolution : Studien zur Grundproblematik der Marx'schen Gesellschaftskritik</t>
  </si>
  <si>
    <t>Bohlender, Matthias;Schönfelder, Anna-Sophie;Spekker, Matthias</t>
  </si>
  <si>
    <t>https://ebookcentral.proquest.com/lib/iuavit/detail.action?docID=6755614</t>
  </si>
  <si>
    <t>»Truth« and Fiction : Conspiracy Theories in Eastern European Culture and Literature</t>
  </si>
  <si>
    <t>Deutschmann, Peter;Herlth, Jens;Woldan, Alois</t>
  </si>
  <si>
    <t>https://ebookcentral.proquest.com/lib/iuavit/detail.action?docID=6755640</t>
  </si>
  <si>
    <t>100 Jahre Politikwissenschaft in Hamburg : Bruchstücke zu einer Institutsgeschichte</t>
  </si>
  <si>
    <t>Niesen, Peter;Weiß, David</t>
  </si>
  <si>
    <t>https://ebookcentral.proquest.com/lib/iuavit/detail.action?docID=6755689</t>
  </si>
  <si>
    <t>Zwischen bürgerlicher Identität und musikalischer Profession : Die Geschichte der Philharmonischen Gesellschaft Bremen im 19. Jahrhundert</t>
  </si>
  <si>
    <t>Bock, Katrin</t>
  </si>
  <si>
    <t>https://ebookcentral.proquest.com/lib/iuavit/detail.action?docID=6755768</t>
  </si>
  <si>
    <t>Faking, Forging, Counterfeiting : Discredited Practices at the Margins of Mimesis</t>
  </si>
  <si>
    <t>Becker, Daniel;Fischer, Annalisa;Schmitz, Yola;Niehoff, Simone;Sannders, Florencia</t>
  </si>
  <si>
    <t>https://ebookcentral.proquest.com/lib/iuavit/detail.action?docID=6755797</t>
  </si>
  <si>
    <t>Geflüchtetenprotest und Gewerkschaften : Verhandlungen von Repräsentation im deutschen Arbeits- und Migrationsregime</t>
  </si>
  <si>
    <t>Fischer, Oskar Ilja</t>
  </si>
  <si>
    <t>https://ebookcentral.proquest.com/lib/iuavit/detail.action?docID=6755980</t>
  </si>
  <si>
    <t>Muslimischsein im Sicherheitsdiskurs : Eine rekonstruktive Studie über den Umgang mit dem Bedrohungsszenario</t>
  </si>
  <si>
    <t>Attia, Iman;Keskinkiliç, Ozan Zakariya;Okcu, Büsra;Laabich-Mansour, Ouassima</t>
  </si>
  <si>
    <t>https://ebookcentral.proquest.com/lib/iuavit/detail.action?docID=6756044</t>
  </si>
  <si>
    <t>Obskure Organisationen : Logen, Clubs und Männerbünde als organisationssoziologische Sonderfälle</t>
  </si>
  <si>
    <t>Gibel, Roman</t>
  </si>
  <si>
    <t>https://ebookcentral.proquest.com/lib/iuavit/detail.action?docID=6756186</t>
  </si>
  <si>
    <t>Migration in den Alpen : Handlungsspielräume und Perspektiven</t>
  </si>
  <si>
    <t>Graf, Flurina</t>
  </si>
  <si>
    <t>https://ebookcentral.proquest.com/lib/iuavit/detail.action?docID=6756231</t>
  </si>
  <si>
    <t>HipHop aus Österreich : Lokale Aspekte einer globalen Kultur</t>
  </si>
  <si>
    <t>Dörfler-Trummer, Frederik</t>
  </si>
  <si>
    <t>https://ebookcentral.proquest.com/lib/iuavit/detail.action?docID=6756294</t>
  </si>
  <si>
    <t>Flucht und Vertreibung in europäischen Museen : Deutsche, polnische und tschechische Perspektiven im Vergleich</t>
  </si>
  <si>
    <t>Regente, Vincent</t>
  </si>
  <si>
    <t>https://ebookcentral.proquest.com/lib/iuavit/detail.action?docID=6756325</t>
  </si>
  <si>
    <t>Ordnungen des Nationalen und die geteilte Welt : Zur Praxis Auswärtiger Kulturpolitik als Konfliktprävention</t>
  </si>
  <si>
    <t>Adam, Jens</t>
  </si>
  <si>
    <t>https://ebookcentral.proquest.com/lib/iuavit/detail.action?docID=6756346</t>
  </si>
  <si>
    <t>Medienqualität : Diskurse aus dem Grimme-Institut zu Fernsehen, Internet und Radio</t>
  </si>
  <si>
    <t>Gerlach, Frauke</t>
  </si>
  <si>
    <t>https://ebookcentral.proquest.com/lib/iuavit/detail.action?docID=6756400</t>
  </si>
  <si>
    <t>Digital Image Systems : Photography and New Technologies at the Düsseldorf School</t>
  </si>
  <si>
    <t>Gunti, Claus</t>
  </si>
  <si>
    <t>https://ebookcentral.proquest.com/lib/iuavit/detail.action?docID=6756521</t>
  </si>
  <si>
    <t>Geflüchtete im Betrieb : Integration und Arbeitsbeziehungen zwischen Ressentiment und Kollegialität</t>
  </si>
  <si>
    <t>Schmidt, Werner</t>
  </si>
  <si>
    <t>HD8488.A2S36 2020</t>
  </si>
  <si>
    <t>https://ebookcentral.proquest.com/lib/iuavit/detail.action?docID=6756617</t>
  </si>
  <si>
    <t>Die multiple Identität der Technik : Eine Innovationsbiographie der Augmented Reality-Technologie</t>
  </si>
  <si>
    <t>Lenzen, Kirstin</t>
  </si>
  <si>
    <t>https://ebookcentral.proquest.com/lib/iuavit/detail.action?docID=6756633</t>
  </si>
  <si>
    <t>Transfer in der Lehre : Zivilgesellschaftliches Engagement als Zumutung oder Chance für die Hochschulen?</t>
  </si>
  <si>
    <t>Kümmel-Schnur, Albert;Mühleisen, Sibylle;Hoffmeister, Thomas S.</t>
  </si>
  <si>
    <t>https://ebookcentral.proquest.com/lib/iuavit/detail.action?docID=6756691</t>
  </si>
  <si>
    <t>Musical Composition in the Context of Globalization : New Perspectives on Music History in the 20th and 21st Century</t>
  </si>
  <si>
    <t>Utz, Christian;Laurence Sinclair Willis</t>
  </si>
  <si>
    <t>https://ebookcentral.proquest.com/lib/iuavit/detail.action?docID=6756819</t>
  </si>
  <si>
    <t>Der Hochverrat des Amtmanns Povel Juel : Ein mikrohistorischer Streifzug durch Europas Norden der Frühen Neuzeit</t>
  </si>
  <si>
    <t>Schaad, Martin</t>
  </si>
  <si>
    <t>https://ebookcentral.proquest.com/lib/iuavit/detail.action?docID=6756927</t>
  </si>
  <si>
    <t>The Production of Consumer Society : Cultural-Economic Principles of Distinction</t>
  </si>
  <si>
    <t>https://ebookcentral.proquest.com/lib/iuavit/detail.action?docID=6756992</t>
  </si>
  <si>
    <t>Philosophie des HipHop : Performen, was an der Zeit ist</t>
  </si>
  <si>
    <t>Manemann, Jürgen;Brock, Eike</t>
  </si>
  <si>
    <t>https://ebookcentral.proquest.com/lib/iuavit/detail.action?docID=6757026</t>
  </si>
  <si>
    <t>Fernbeziehungen : Diffraktionen zu Intimität in medialen Zwischenräumen</t>
  </si>
  <si>
    <t>Scherrer, Madeleine</t>
  </si>
  <si>
    <t>https://ebookcentral.proquest.com/lib/iuavit/detail.action?docID=6757105</t>
  </si>
  <si>
    <t>Bildspuren - Sprachspuren : Postkarten als Quellen zur Mehrsprachigkeit in der späten Habsburger Monarchie</t>
  </si>
  <si>
    <t>Almasy, Karin;Pfandl, Heinrich;Tropper, Eva</t>
  </si>
  <si>
    <t>https://ebookcentral.proquest.com/lib/iuavit/detail.action?docID=6757124</t>
  </si>
  <si>
    <t>Intersektionale Sozialforschung</t>
  </si>
  <si>
    <t>Ganz, Kathrin;Hausotter, Jette</t>
  </si>
  <si>
    <t>https://ebookcentral.proquest.com/lib/iuavit/detail.action?docID=6757141</t>
  </si>
  <si>
    <t>Konversation und Geselligkeit : Praxis französischer Salonkultur im Spannungsfeld von Idealität und Realität</t>
  </si>
  <si>
    <t>Schulz, Karin</t>
  </si>
  <si>
    <t>https://ebookcentral.proquest.com/lib/iuavit/detail.action?docID=6757150</t>
  </si>
  <si>
    <t>Strange Blood : The Rise and Fall of Lamb Blood Transfusion in 19th Century Medicine and Beyond</t>
  </si>
  <si>
    <t>Berner, Boel</t>
  </si>
  <si>
    <t>https://ebookcentral.proquest.com/lib/iuavit/detail.action?docID=6757205</t>
  </si>
  <si>
    <t>Hoffnung auf eine bessere Vergangenheit : Kollektivierungsdiskurse und ihre Codes der Verräumlichung</t>
  </si>
  <si>
    <t>Kibel, Jochen</t>
  </si>
  <si>
    <t>https://ebookcentral.proquest.com/lib/iuavit/detail.action?docID=6757352</t>
  </si>
  <si>
    <t>Liquid Democracy in Deutschland : Zur Zukunft digitaler politischer Entscheidungsfindung nach dem Niedergang der Piratenpartei</t>
  </si>
  <si>
    <t>Adler, Anja</t>
  </si>
  <si>
    <t>https://ebookcentral.proquest.com/lib/iuavit/detail.action?docID=6757437</t>
  </si>
  <si>
    <t>Digitalisierung als Distributivkraft : Über das Neue am digitalen Kapitalismus</t>
  </si>
  <si>
    <t>Pfeiffer, Sabine</t>
  </si>
  <si>
    <t>https://ebookcentral.proquest.com/lib/iuavit/detail.action?docID=6757455</t>
  </si>
  <si>
    <t>Politik in der digitalen Gesellschaft : Zentrale Problemfelder und Forschungsperspektiven</t>
  </si>
  <si>
    <t>Hofmann, Jeanette;Kersting, Norbert;Ritzi, Claudia;Schünemann, Wolf J.</t>
  </si>
  <si>
    <t>https://ebookcentral.proquest.com/lib/iuavit/detail.action?docID=6757483</t>
  </si>
  <si>
    <t>Ambivalenzen pädagogischen Handelns : Reflexionen der Betreuung von Menschen mit ›geistiger Behinderung‹</t>
  </si>
  <si>
    <t>Trescher, Hendrik;Hauck, Teresa</t>
  </si>
  <si>
    <t>https://ebookcentral.proquest.com/lib/iuavit/detail.action?docID=6757556</t>
  </si>
  <si>
    <t>Konzepte der Interkulturalität in der Germanistik weltweit</t>
  </si>
  <si>
    <t>Cornejo, Renata;Schiewer, Gesine Lenore;Weinberg, Manfred</t>
  </si>
  <si>
    <t>PT134.I45K66 2020</t>
  </si>
  <si>
    <t>https://ebookcentral.proquest.com/lib/iuavit/detail.action?docID=6757700</t>
  </si>
  <si>
    <t>Wie können wir den Schaden maximieren? : Gestaltung trotz Komplexität. Beiträge zu einem Public Interest Design</t>
  </si>
  <si>
    <t>Rodatz, Christoph;Smolarski, Pierre</t>
  </si>
  <si>
    <t>https://ebookcentral.proquest.com/lib/iuavit/detail.action?docID=6757810</t>
  </si>
  <si>
    <t>Ver-rückte Expertisen : Ethnografische Perspektiven auf Genesungsbegleitung</t>
  </si>
  <si>
    <t>Schmid, Christine</t>
  </si>
  <si>
    <t>https://ebookcentral.proquest.com/lib/iuavit/detail.action?docID=6758056</t>
  </si>
  <si>
    <t>Co-Parenting und die Zukunft der Liebe : Über post-romantische Elternschaft</t>
  </si>
  <si>
    <t>Wimbauer, Christine</t>
  </si>
  <si>
    <t>https://ebookcentral.proquest.com/lib/iuavit/detail.action?docID=6758082</t>
  </si>
  <si>
    <t>Care trans_formieren : Eine ethnographische Studie zu trans und nicht-binärer Sorgearbeit</t>
  </si>
  <si>
    <t>Seeck, Francis</t>
  </si>
  <si>
    <t>https://ebookcentral.proquest.com/lib/iuavit/detail.action?docID=6758110</t>
  </si>
  <si>
    <t>Gilles Deleuze und die Anyone Corporation : Übersetzungsprozesse zwischen Philosophie und Architektur</t>
  </si>
  <si>
    <t>Lausch, Frederike</t>
  </si>
  <si>
    <t>https://ebookcentral.proquest.com/lib/iuavit/detail.action?docID=6758211</t>
  </si>
  <si>
    <t>Legal Pluralism in Ethiopia : Actors, Challenges and Solutions</t>
  </si>
  <si>
    <t>Epple, Susanne;Assefa, Getachew</t>
  </si>
  <si>
    <t>https://ebookcentral.proquest.com/lib/iuavit/detail.action?docID=6758358</t>
  </si>
  <si>
    <t>Der Weltanschauungsroman 2. Ordnung : Probleme literarischer Modellbildung bei Hermann Broch und Robert Musil</t>
  </si>
  <si>
    <t>Schwarzwälder, Florens</t>
  </si>
  <si>
    <t>https://ebookcentral.proquest.com/lib/iuavit/detail.action?docID=6758369</t>
  </si>
  <si>
    <t>Die Dialektik der Angewiesenheit : Das sozialpolitische Werk von Eduard Heimann neu lesen</t>
  </si>
  <si>
    <t>Böhnisch, Lothar</t>
  </si>
  <si>
    <t>https://ebookcentral.proquest.com/lib/iuavit/detail.action?docID=6758390</t>
  </si>
  <si>
    <t>Thinking of Space Relationally : Critical Realism Beyond Relativism - A Manifold Study of the Artworld in Beijing</t>
  </si>
  <si>
    <t>Gao, Xiaoxue</t>
  </si>
  <si>
    <t>https://ebookcentral.proquest.com/lib/iuavit/detail.action?docID=6758570</t>
  </si>
  <si>
    <t>Komplexes Erzählen - Literatur auf 2+n-ter Stufe : Zu einer Theorie literarischer Komplexität</t>
  </si>
  <si>
    <t>Steiner, André</t>
  </si>
  <si>
    <t>https://ebookcentral.proquest.com/lib/iuavit/detail.action?docID=6758605</t>
  </si>
  <si>
    <t>Die Energiewende im Bundestag: ein politisches Transformationsprojekt? : Eine Diskursanalyse aus feministischer und sozial-ökologischer Perspektive</t>
  </si>
  <si>
    <t>Amri-Henkel, Andrea</t>
  </si>
  <si>
    <t>https://ebookcentral.proquest.com/lib/iuavit/detail.action?docID=6758629</t>
  </si>
  <si>
    <t>Creating Learning Spaces : Experiences from Educational Fields</t>
  </si>
  <si>
    <t>Bröcher, Joachim</t>
  </si>
  <si>
    <t>LB3013.B694 2019</t>
  </si>
  <si>
    <t>https://ebookcentral.proquest.com/lib/iuavit/detail.action?docID=6758648</t>
  </si>
  <si>
    <t>Leben weben : (Auto-)Biographische Praktiken russischer Autorinnen und Autoren im Internet</t>
  </si>
  <si>
    <t>Howanitz, Gernot</t>
  </si>
  <si>
    <t>https://ebookcentral.proquest.com/lib/iuavit/detail.action?docID=6758667</t>
  </si>
  <si>
    <t>Praxeologie in der Historischen Bildungsforschung : Möglichkeiten und Grenzen eines Forschungsansatzes</t>
  </si>
  <si>
    <t>Hoffmann-Ocon, Andreas;Vincenti, Andrea De;Grube, Norbert</t>
  </si>
  <si>
    <t>https://ebookcentral.proquest.com/lib/iuavit/detail.action?docID=6758708</t>
  </si>
  <si>
    <t>Ausbildung statt Ausgrenzung : Wie interkulturelle Öffnung und Diversity-Orientierung in Berlins Öffentlichem Dienst und in Landesbetrieben gelingen können</t>
  </si>
  <si>
    <t>Germershausen, Andreas;Kruse, Wilfried</t>
  </si>
  <si>
    <t>https://ebookcentral.proquest.com/lib/iuavit/detail.action?docID=6758905</t>
  </si>
  <si>
    <t>Freiheit wagen! : Ein Essay zur Revolution im 21. Jahrhundert</t>
  </si>
  <si>
    <t>https://ebookcentral.proquest.com/lib/iuavit/detail.action?docID=6759008</t>
  </si>
  <si>
    <t>Narratologie und Geschichte : Eine Analyse schottischer Historiografie am Beispiel des »Scotichronicon« und des »Bruce«</t>
  </si>
  <si>
    <t>Hachgenei, Davina</t>
  </si>
  <si>
    <t>https://ebookcentral.proquest.com/lib/iuavit/detail.action?docID=6759045</t>
  </si>
  <si>
    <t>Urban Resilience in a Global Context : Actors, Narratives, and Temporalities</t>
  </si>
  <si>
    <t>Brantz, Dorothee;Sharma, Avi</t>
  </si>
  <si>
    <t>https://ebookcentral.proquest.com/lib/iuavit/detail.action?docID=6759141</t>
  </si>
  <si>
    <t>Killing and Being Killed: Bodies in Battle : Perspectives on Fighters in the Middle Ages</t>
  </si>
  <si>
    <t>Rogge, Jörg</t>
  </si>
  <si>
    <t>https://ebookcentral.proquest.com/lib/iuavit/detail.action?docID=6759152</t>
  </si>
  <si>
    <t>Care Home Stories : Aging, Disability, and Long-Term Residential Care</t>
  </si>
  <si>
    <t>Chivers, Sally;Kriebernegg, Ulla</t>
  </si>
  <si>
    <t>https://ebookcentral.proquest.com/lib/iuavit/detail.action?docID=6759167</t>
  </si>
  <si>
    <t>Rechtes Denken, rechte Räume? : Demokratiefeindliche Entwicklungen und ihre räumlichen Kontexte</t>
  </si>
  <si>
    <t>Berg, Lynn;Üblacker, Jan</t>
  </si>
  <si>
    <t>Jf197.R429 2020</t>
  </si>
  <si>
    <t>https://ebookcentral.proquest.com/lib/iuavit/detail.action?docID=6759224</t>
  </si>
  <si>
    <t>Practices of Speculation : Modeling, Embodiment, Figuration</t>
  </si>
  <si>
    <t>Cortiel, Jeanne;Hanke, Christine;Hutta, Jan Simon;Milburn, Colin</t>
  </si>
  <si>
    <t>https://ebookcentral.proquest.com/lib/iuavit/detail.action?docID=6759252</t>
  </si>
  <si>
    <t>Postmigrantische Visionen : Erfahrungen - Ideen - Reflexionen</t>
  </si>
  <si>
    <t>Hill, Marc;Yildiz, Erol</t>
  </si>
  <si>
    <t>https://ebookcentral.proquest.com/lib/iuavit/detail.action?docID=6759309</t>
  </si>
  <si>
    <t>Tanz der Dinge/Things that dance : Jahrbuch TanzForschung 2019</t>
  </si>
  <si>
    <t>Birringer, Johannes;Fenger, Josephine</t>
  </si>
  <si>
    <t>https://ebookcentral.proquest.com/lib/iuavit/detail.action?docID=6759373</t>
  </si>
  <si>
    <t>Kritik - Selbstaffirmation - Othering : Immanuel Kants Denken der Zweckmässigkeit und die koloniale Episteme</t>
  </si>
  <si>
    <t>Hostettler, Karin</t>
  </si>
  <si>
    <t>https://ebookcentral.proquest.com/lib/iuavit/detail.action?docID=6759487</t>
  </si>
  <si>
    <t>Kritik der Gegenwart - Politische Theorie als kritische Zeitdiagnose</t>
  </si>
  <si>
    <t>Flügel-Martinsen, Oliver</t>
  </si>
  <si>
    <t>https://ebookcentral.proquest.com/lib/iuavit/detail.action?docID=6759671</t>
  </si>
  <si>
    <t>Von Tierdaten zu Datentieren : Eine Mediengeschichte der elektronischen Tierkennzeichnung und des datengestützten Herdenmanagements</t>
  </si>
  <si>
    <t>Bolinski, Ina</t>
  </si>
  <si>
    <t>https://ebookcentral.proquest.com/lib/iuavit/detail.action?docID=6759774</t>
  </si>
  <si>
    <t>Annäherungen an das Unaussprechliche : Ästhetische Erfahrung in kollektiven religiösen Praktiken</t>
  </si>
  <si>
    <t>Schwaderer, Isabella;Waldner, Katharina</t>
  </si>
  <si>
    <t>https://ebookcentral.proquest.com/lib/iuavit/detail.action?docID=6759811</t>
  </si>
  <si>
    <t>Anders lernen, arbeiten und leben : Für eine Transformation von Pädagogik und Gesellschaft</t>
  </si>
  <si>
    <t>https://ebookcentral.proquest.com/lib/iuavit/detail.action?docID=6759838</t>
  </si>
  <si>
    <t>Soziale Welten der Erwachsenenbildung : Eine professionstheoretische Verortung</t>
  </si>
  <si>
    <t>Steiner, Petra H.</t>
  </si>
  <si>
    <t>https://ebookcentral.proquest.com/lib/iuavit/detail.action?docID=6759844</t>
  </si>
  <si>
    <t>Im Zwischenraum der beschleunigten Moderne : Eine Bau- und Kulturgeschichte des Wartens auf Eisenbahnen, 1830-1935</t>
  </si>
  <si>
    <t>Kellermann, Robin</t>
  </si>
  <si>
    <t>https://ebookcentral.proquest.com/lib/iuavit/detail.action?docID=6759891</t>
  </si>
  <si>
    <t>Mistrust : Ethnographic Approximations</t>
  </si>
  <si>
    <t>Mühlfried, Florian</t>
  </si>
  <si>
    <t>https://ebookcentral.proquest.com/lib/iuavit/detail.action?docID=6759898</t>
  </si>
  <si>
    <t>Biopolitics and Historic Justice : Coming to Terms with the Injuries of Normality</t>
  </si>
  <si>
    <t>Braun, Kathrin</t>
  </si>
  <si>
    <t>https://ebookcentral.proquest.com/lib/iuavit/detail.action?docID=6759904</t>
  </si>
  <si>
    <t>SONA - Netzwerk Soziologie der Nachhaltigkeit</t>
  </si>
  <si>
    <t>https://ebookcentral.proquest.com/lib/iuavit/detail.action?docID=6759913</t>
  </si>
  <si>
    <t>Baustelle Elektromobilität : Sozialwissenschaftliche Perspektiven auf die Transformation der (Auto-)Mobilität</t>
  </si>
  <si>
    <t>Brunnengräber, Achim;Haas, Tobias</t>
  </si>
  <si>
    <t>https://ebookcentral.proquest.com/lib/iuavit/detail.action?docID=6759940</t>
  </si>
  <si>
    <t>Die Kunst des Büchermachens: Autorschaft und Materialität der Literatur zwischen 1765 und 1815</t>
  </si>
  <si>
    <t>Fuchs, Tobias</t>
  </si>
  <si>
    <t>https://ebookcentral.proquest.com/lib/iuavit/detail.action?docID=6759952</t>
  </si>
  <si>
    <t>Socializing Development : Transnational Social Movement Advocacy and the Human Rights Accountability of Multilateral Development Banks</t>
  </si>
  <si>
    <t>Schettler, Leon Valentin</t>
  </si>
  <si>
    <t>https://ebookcentral.proquest.com/lib/iuavit/detail.action?docID=6760045</t>
  </si>
  <si>
    <t>Democracy, Markets and the Commons : Towards a Reconciliation of Freedom and Ecology</t>
  </si>
  <si>
    <t>Peter, Lukas</t>
  </si>
  <si>
    <t>https://ebookcentral.proquest.com/lib/iuavit/detail.action?docID=6760093</t>
  </si>
  <si>
    <t>Anti-Genderismus in Europa : Allianzen von Rechtspopulismus und religiösem Fundamentalismus. Mobilisierung - Vernetzung - Transformation</t>
  </si>
  <si>
    <t>Strube, Sonja A.;Perintfalvi, Rita;Hemet, Raphaela;Metze, Miriam;Sahbaz, Cicek</t>
  </si>
  <si>
    <t>HQ76.45.E85A58 2021</t>
  </si>
  <si>
    <t>https://ebookcentral.proquest.com/lib/iuavit/detail.action?docID=6760129</t>
  </si>
  <si>
    <t>Southeast Asian Transformations : Urban and Rural Developments in the 21st Century</t>
  </si>
  <si>
    <t>Kurfürst, Sandra;Wehner, Stefanie</t>
  </si>
  <si>
    <t>https://ebookcentral.proquest.com/lib/iuavit/detail.action?docID=6760392</t>
  </si>
  <si>
    <t>European Regions : Perspectives, Trends and Developments in the 21st Century</t>
  </si>
  <si>
    <t>Donat, Elisabeth;Meyer, Sarah;Abels, Gabriele</t>
  </si>
  <si>
    <t>JN30E9138 2020</t>
  </si>
  <si>
    <t>https://ebookcentral.proquest.com/lib/iuavit/detail.action?docID=6760501</t>
  </si>
  <si>
    <t>A Poetics of Neurosis : Narratives of Normalcy and Disorder in Cultural and Literary Texts</t>
  </si>
  <si>
    <t>Furlanetto, Elena;Meinel, Dietmar</t>
  </si>
  <si>
    <t>PN56.N4P64 2018</t>
  </si>
  <si>
    <t>https://ebookcentral.proquest.com/lib/iuavit/detail.action?docID=6760536</t>
  </si>
  <si>
    <t>Sexualität - Geschlecht - Affekt : Sexuelle Scripts als Palimpsest in literarischen Erzähltexten und zeitgenössischen theoretischen Debatten</t>
  </si>
  <si>
    <t>Binswanger, Christa</t>
  </si>
  <si>
    <t>PT749.S48B56 2020</t>
  </si>
  <si>
    <t>https://ebookcentral.proquest.com/lib/iuavit/detail.action?docID=6760607</t>
  </si>
  <si>
    <t>Bally - A History of Footwear in the Interwar Period</t>
  </si>
  <si>
    <t>Schlittler, Anna-Brigitte;Tietze, Katharina</t>
  </si>
  <si>
    <t>https://ebookcentral.proquest.com/lib/iuavit/detail.action?docID=6760727</t>
  </si>
  <si>
    <t>Bildungs- und Berufsberatung in der Migrationsgesellschaft : Pädagogische Perspektiven auf Beratung zur Anerkennung im Ausland erworbener Qualifikationen</t>
  </si>
  <si>
    <t>Schmidtke, Birgit</t>
  </si>
  <si>
    <t>https://ebookcentral.proquest.com/lib/iuavit/detail.action?docID=6760825</t>
  </si>
  <si>
    <t>Segregation, Inequality, and Urban Development : Forced Evictions and Criminalisation Practices in Present-Day South Africa</t>
  </si>
  <si>
    <t>Dehkordi, Sara</t>
  </si>
  <si>
    <t>https://ebookcentral.proquest.com/lib/iuavit/detail.action?docID=6760887</t>
  </si>
  <si>
    <t>Moschee-Neubauten : Institutionalisierung, Bedeutung und Sichtbarkeit in England und der Schweiz</t>
  </si>
  <si>
    <t>Stöckli, Lucia</t>
  </si>
  <si>
    <t>https://ebookcentral.proquest.com/lib/iuavit/detail.action?docID=6760913</t>
  </si>
  <si>
    <t>Kosmopolitische Pioniere : »Inder_innen der zweiten Generation« aus der Schweiz zwischen Assimilation, Exotik und globaler Moderne</t>
  </si>
  <si>
    <t>Jain, Rohit</t>
  </si>
  <si>
    <t>https://ebookcentral.proquest.com/lib/iuavit/detail.action?docID=6760966</t>
  </si>
  <si>
    <t>Die Ästhetisierung und Politisierung des Todes : Handyvideos von Gewalt und Tod im Syrienkonflikt</t>
  </si>
  <si>
    <t>Meis, Mareike</t>
  </si>
  <si>
    <t>https://ebookcentral.proquest.com/lib/iuavit/detail.action?docID=6761145</t>
  </si>
  <si>
    <t>Multispezies-Ethnographie : Zur Methodik einer ganzheitlichen Erforschung von Mensch, Tier, Natur und Kultur</t>
  </si>
  <si>
    <t>Ameli, Katharina</t>
  </si>
  <si>
    <t>https://ebookcentral.proquest.com/lib/iuavit/detail.action?docID=6761192</t>
  </si>
  <si>
    <t>Trump - ein amerikanischer Traum? : Warum Amerika sich verwählt hat</t>
  </si>
  <si>
    <t>Fach, Wolfgang</t>
  </si>
  <si>
    <t>E912.F33 2020</t>
  </si>
  <si>
    <t>https://ebookcentral.proquest.com/lib/iuavit/detail.action?docID=6761369</t>
  </si>
  <si>
    <t>Political Participation in the Digital Age : An Ethnographic Comparison Between Iceland and Germany</t>
  </si>
  <si>
    <t>Tiemann-Kollipost, Julia</t>
  </si>
  <si>
    <t>JN7389.A15T54 2020</t>
  </si>
  <si>
    <t>https://ebookcentral.proquest.com/lib/iuavit/detail.action?docID=6761397</t>
  </si>
  <si>
    <t>Nach der »Willkommenskultur« : Geflüchtete zwischen umkämpfter Teilhabe und zivilgesellschaftlicher Solidarität</t>
  </si>
  <si>
    <t>Dinkelaker, Samia;Huke, Nikolai;Tietje, Olaf</t>
  </si>
  <si>
    <t>HV640.4.G3N33 2021</t>
  </si>
  <si>
    <t>https://ebookcentral.proquest.com/lib/iuavit/detail.action?docID=6761415</t>
  </si>
  <si>
    <t>Kampf um Mitbestimmung : Antworten auf »Union Busting« und die Behinderung von Betriebsräten</t>
  </si>
  <si>
    <t>Thünken, Oliver;Morgenroth, Sissy;Hertwig, Markus;Fischer, Alrun;Menning, Daniel</t>
  </si>
  <si>
    <t>https://ebookcentral.proquest.com/lib/iuavit/detail.action?docID=6761564</t>
  </si>
  <si>
    <t>This Is Not an Atlas : A Global Collection of Counter-Cartographies</t>
  </si>
  <si>
    <t>kollektiv orangotango+, kollektiv</t>
  </si>
  <si>
    <t>https://ebookcentral.proquest.com/lib/iuavit/detail.action?docID=6761621</t>
  </si>
  <si>
    <t>Robuste Langzeit-Governance bei der Endlagersuche : Soziotechnische Herausforderungen im Umgang mit hochradioaktiven Abfällen</t>
  </si>
  <si>
    <t>Brohmann, Bettina;Brunnengräber, Achim;Hocke, Peter;Losada, Ana María Isidoro</t>
  </si>
  <si>
    <t>https://ebookcentral.proquest.com/lib/iuavit/detail.action?docID=6761697</t>
  </si>
  <si>
    <t>Transgressive Truths and Flattering Lies : The Poetics and Ethics of Anglophone Arab Representations</t>
  </si>
  <si>
    <t>Schmitz, Markus</t>
  </si>
  <si>
    <t>PR129.A65.S36 2020</t>
  </si>
  <si>
    <t>https://ebookcentral.proquest.com/lib/iuavit/detail.action?docID=6761723</t>
  </si>
  <si>
    <t>Die Evolution der Religion : Ein soziologischer Grundriss</t>
  </si>
  <si>
    <t>Krech, Volkhard</t>
  </si>
  <si>
    <t>https://ebookcentral.proquest.com/lib/iuavit/detail.action?docID=6761744</t>
  </si>
  <si>
    <t>Religious Fundamentalism in the Age of Pandemic</t>
  </si>
  <si>
    <t>Käsehage, Nina</t>
  </si>
  <si>
    <t>https://ebookcentral.proquest.com/lib/iuavit/detail.action?docID=6761794</t>
  </si>
  <si>
    <t>Media Agency - Neue Ansätze zur Medialität in der Architektur</t>
  </si>
  <si>
    <t>Barlieb, Christophe;Gasperoni, Lidia</t>
  </si>
  <si>
    <t>https://ebookcentral.proquest.com/lib/iuavit/detail.action?docID=6761900</t>
  </si>
  <si>
    <t>Leistungsklassen und Geschlechtertests : Die heteronormative Logik des Sports</t>
  </si>
  <si>
    <t>Heckemeyer, Karolin</t>
  </si>
  <si>
    <t>https://ebookcentral.proquest.com/lib/iuavit/detail.action?docID=6761923</t>
  </si>
  <si>
    <t>Democratic and Authoritarian Political Systems in 21st Century World Society : Vol. 1 - Differentiation, Inclusion, Responsiveness</t>
  </si>
  <si>
    <t>Ahlers, Anna L.;Krichewsky, Damien;Moser, Evelyn;Stichweh, Rudolf</t>
  </si>
  <si>
    <t>JC423.A378 2021</t>
  </si>
  <si>
    <t>https://ebookcentral.proquest.com/lib/iuavit/detail.action?docID=6761967</t>
  </si>
  <si>
    <t>Friedensgutachten 2020 : Im Schatten der Pandemie: letzte Chance für Europa</t>
  </si>
  <si>
    <t>https://ebookcentral.proquest.com/lib/iuavit/detail.action?docID=6761990</t>
  </si>
  <si>
    <t>Armut und Umweltschutz : Potenziale und Barrieren im urbanen Raum Westafrikas</t>
  </si>
  <si>
    <t>Huber, Elisabeth</t>
  </si>
  <si>
    <t>https://ebookcentral.proquest.com/lib/iuavit/detail.action?docID=6762011</t>
  </si>
  <si>
    <t>Wasser als Gemeinsames : Potenziale und Probleme von Commoning bei Konflikten der Wasserbewirtschaftung</t>
  </si>
  <si>
    <t>Euler, Johannes</t>
  </si>
  <si>
    <t>https://ebookcentral.proquest.com/lib/iuavit/detail.action?docID=6762098</t>
  </si>
  <si>
    <t>Perspektiven pragmatischer Medienphilosophie : Grundlagen - Anwendungen - Praktiken</t>
  </si>
  <si>
    <t>Sandbothe, Mike</t>
  </si>
  <si>
    <t>https://ebookcentral.proquest.com/lib/iuavit/detail.action?docID=6762133</t>
  </si>
  <si>
    <t>The Redundant City : A Multi-Site Enquiry into Urban Narratives of Conflict and Change</t>
  </si>
  <si>
    <t>Kling, Norbert</t>
  </si>
  <si>
    <t>https://ebookcentral.proquest.com/lib/iuavit/detail.action?docID=6762324</t>
  </si>
  <si>
    <t>Radikalislamische YouTube-Propaganda : Eine qualitative Rezeptionsstudie unter jungen Erwachsenen</t>
  </si>
  <si>
    <t>Klevesath, Lino;Munderloh, Annemieke;Sprengeler, Joris;Grahmann, Florian;Reiter, Julia</t>
  </si>
  <si>
    <t>https://ebookcentral.proquest.com/lib/iuavit/detail.action?docID=6762371</t>
  </si>
  <si>
    <t>Das quantifizierte Selbst : Zur Genealogie des Self-Trackings</t>
  </si>
  <si>
    <t>Mämecke, Thorben</t>
  </si>
  <si>
    <t>https://ebookcentral.proquest.com/lib/iuavit/detail.action?docID=6762431</t>
  </si>
  <si>
    <t>Krankheit in Digitalen Spielen : Interdisziplinäre Betrachtungen</t>
  </si>
  <si>
    <t>Görgen, Arno;Simond, Stefan Heinrich</t>
  </si>
  <si>
    <t>https://ebookcentral.proquest.com/lib/iuavit/detail.action?docID=6762562</t>
  </si>
  <si>
    <t>Publikationsberatung an Universitäten : Ein Praxisleitfaden zum Aufbau publikationsunterstützender Services</t>
  </si>
  <si>
    <t>Lackner, Karin;Schilhan, Lisa;Kaier, Christian</t>
  </si>
  <si>
    <t>https://ebookcentral.proquest.com/lib/iuavit/detail.action?docID=6762654</t>
  </si>
  <si>
    <t>Markeninszenierung in Japan : Zur narrativen Konstruktion der Lifestyle-Marken »Muji« und »Uniqlo«</t>
  </si>
  <si>
    <t>Rühle, Christiane</t>
  </si>
  <si>
    <t>https://ebookcentral.proquest.com/lib/iuavit/detail.action?docID=6762657</t>
  </si>
  <si>
    <t>Moving Images : Mediating Migration as Crisis</t>
  </si>
  <si>
    <t>Lynes, Krista;Morgenstern, Tyler;Paul, Ian Alan</t>
  </si>
  <si>
    <t>HV649.4.E8M68 2020</t>
  </si>
  <si>
    <t>https://ebookcentral.proquest.com/lib/iuavit/detail.action?docID=6762764</t>
  </si>
  <si>
    <t>Technologisches Regieren : Der Aufstieg des Netzwerk-Denkens in der Krise der Moderne. Foucault, Luhmann und die Kybernetik</t>
  </si>
  <si>
    <t>August, Vincent</t>
  </si>
  <si>
    <t>https://ebookcentral.proquest.com/lib/iuavit/detail.action?docID=6762773</t>
  </si>
  <si>
    <t>TransCoding - From `Highbrow Art' to Participatory Culture : Social Media - Art - Research</t>
  </si>
  <si>
    <t>Lüneburg, Barbara</t>
  </si>
  <si>
    <t>https://ebookcentral.proquest.com/lib/iuavit/detail.action?docID=6762852</t>
  </si>
  <si>
    <t>Zivilgesellschaft in der Bundesrepublik Deutschland : Aufbrüche, Umbrüche, Ausblicke</t>
  </si>
  <si>
    <t>Grande, Brigitte;Grande, Edgar;Hahn, Udo</t>
  </si>
  <si>
    <t>https://ebookcentral.proquest.com/lib/iuavit/detail.action?docID=6762914</t>
  </si>
  <si>
    <t>Writing Emotions : Theoretical Concepts and Selected Case Studies in Literature</t>
  </si>
  <si>
    <t>Jandl, Ingeborg;Knaller, Susanne;Schönfellner, Sabine;Tockner, Gudrun</t>
  </si>
  <si>
    <t>809/.93353</t>
  </si>
  <si>
    <t>https://ebookcentral.proquest.com/lib/iuavit/detail.action?docID=6763086</t>
  </si>
  <si>
    <t>The Wealthy, the Brilliant, the Few : Elite Education in Contemporary American Discourse</t>
  </si>
  <si>
    <t>Spieler, Sophie</t>
  </si>
  <si>
    <t>https://ebookcentral.proquest.com/lib/iuavit/detail.action?docID=6763297</t>
  </si>
  <si>
    <t>Envisioning the World: Mapping and Making the Global</t>
  </si>
  <si>
    <t>Holtgreve, Sandra;Preuß, Karlson;Albert, Mathias</t>
  </si>
  <si>
    <t>https://ebookcentral.proquest.com/lib/iuavit/detail.action?docID=6763442</t>
  </si>
  <si>
    <t>EU-Staatlichkeit zwischen Ausbau und Stagnation : Kritische Perspektiven auf die Transformationsprozesse in der Euro-Krise</t>
  </si>
  <si>
    <t>Gerken, Johannes</t>
  </si>
  <si>
    <t>https://ebookcentral.proquest.com/lib/iuavit/detail.action?docID=6763648</t>
  </si>
  <si>
    <t>Depression und Biographie : Krankheitserfahrungen migrierter Frauen in der Schweiz</t>
  </si>
  <si>
    <t>Trevisan, Amina</t>
  </si>
  <si>
    <t>RA790.7.S9T74 2020</t>
  </si>
  <si>
    <t>https://ebookcentral.proquest.com/lib/iuavit/detail.action?docID=6763705</t>
  </si>
  <si>
    <t>Das Indernet : Eine rassismuskritische Internet-Ethnografie</t>
  </si>
  <si>
    <t>Goel, Urmila</t>
  </si>
  <si>
    <t>https://ebookcentral.proquest.com/lib/iuavit/detail.action?docID=6763725</t>
  </si>
  <si>
    <t>Moscheeleben in Deutschland : Eine Ethnographie zu Islamischem Wissen, Tradition und religiöser Autorität</t>
  </si>
  <si>
    <t>Akca, Ayse Almila</t>
  </si>
  <si>
    <t>BP65.G4A43 2020</t>
  </si>
  <si>
    <t>https://ebookcentral.proquest.com/lib/iuavit/detail.action?docID=6763800</t>
  </si>
  <si>
    <t>Inklusion im kommunalen Raum : Sozialraumentwicklung im Kontext von Behinderung, Flucht und Demenz</t>
  </si>
  <si>
    <t>https://ebookcentral.proquest.com/lib/iuavit/detail.action?docID=6764058</t>
  </si>
  <si>
    <t>Refugee Routes : Telling, Looking, Protesting, Redressing</t>
  </si>
  <si>
    <t>Agnew, Vanessa;Konuk, Kader;Newman, Jane O.</t>
  </si>
  <si>
    <t>JV6346.R427 2020</t>
  </si>
  <si>
    <t>https://ebookcentral.proquest.com/lib/iuavit/detail.action?docID=6764155</t>
  </si>
  <si>
    <t>Währung - Krise - Emotion : Kollektive Wahrnehmungsweisen von Wirtschaftskrisen</t>
  </si>
  <si>
    <t>Ziethen, Sanne;Peter, Nina</t>
  </si>
  <si>
    <t>https://ebookcentral.proquest.com/lib/iuavit/detail.action?docID=6764187</t>
  </si>
  <si>
    <t>Good White Queers? : Racism and Whiteness in Queer U.S. Comics</t>
  </si>
  <si>
    <t>Linke, Kai</t>
  </si>
  <si>
    <t>https://ebookcentral.proquest.com/lib/iuavit/detail.action?docID=6764223</t>
  </si>
  <si>
    <t>Energiewende und Megatrends : Wechselwirkungen von globaler Gesellschaftsentwicklung und Nachhaltigkeit</t>
  </si>
  <si>
    <t>Engler, Steven;Janik, Julia;Wolf, Matthias</t>
  </si>
  <si>
    <t>https://ebookcentral.proquest.com/lib/iuavit/detail.action?docID=6764384</t>
  </si>
  <si>
    <t>Tanz - Diversität - Inklusion : Jahrbuch TanzForschung 2018</t>
  </si>
  <si>
    <t>Quinten, Susanne;Rosenberg, Christiana</t>
  </si>
  <si>
    <t>https://ebookcentral.proquest.com/lib/iuavit/detail.action?docID=6764473</t>
  </si>
  <si>
    <t>Beyond the Mirror : Seeing in Art History and Visual Culture Studies</t>
  </si>
  <si>
    <t>Falkenhausen, Susanne von</t>
  </si>
  <si>
    <t>https://ebookcentral.proquest.com/lib/iuavit/detail.action?docID=6764529</t>
  </si>
  <si>
    <t>Sojourners and Settlers : Chinese Migrants in Hawaii</t>
  </si>
  <si>
    <t>Glick, Clarence E.</t>
  </si>
  <si>
    <t>https://ebookcentral.proquest.com/lib/iuavit/detail.action?docID=6764540</t>
  </si>
  <si>
    <t>Competition in World Politics : Knowledge, Strategies and Institutions</t>
  </si>
  <si>
    <t>Russ, Daniela;Stafford, James</t>
  </si>
  <si>
    <t>https://ebookcentral.proquest.com/lib/iuavit/detail.action?docID=6764561</t>
  </si>
  <si>
    <t>Am Ende der Globalisierung : Über die Refiguration von Räumen</t>
  </si>
  <si>
    <t>Löw, Martina;Sayman, Volkan;Schwerer, Jona;Wolf, Hannah</t>
  </si>
  <si>
    <t>https://ebookcentral.proquest.com/lib/iuavit/detail.action?docID=6764610</t>
  </si>
  <si>
    <t>Geschlechtsspezifische Gewalt in Zeiten der Digitalisierung : Formen und Interventionsstrategien</t>
  </si>
  <si>
    <t>bff: Bundesverband Frauenberatungsstellen und Frauennotrufe;Prasad, Nivedita</t>
  </si>
  <si>
    <t>https://ebookcentral.proquest.com/lib/iuavit/detail.action?docID=6764846</t>
  </si>
  <si>
    <t>Der Offenbacher Ansatz : Zur Theorie der Produktsprache</t>
  </si>
  <si>
    <t>Schwer, Thilo;Vöckler, Kai</t>
  </si>
  <si>
    <t>https://ebookcentral.proquest.com/lib/iuavit/detail.action?docID=6765017</t>
  </si>
  <si>
    <t>Menschenrechte im Unternehmen durchsetzen : Internationale Arbeitnehmerrechte: Die UN-Leitprinzipien als Hebel für Betriebsräte und Gewerkschaften</t>
  </si>
  <si>
    <t>Hadwiger, Felix;Hamm, Brigitte;Vitols, Katrin;Wilke, Peter</t>
  </si>
  <si>
    <t>https://ebookcentral.proquest.com/lib/iuavit/detail.action?docID=6765039</t>
  </si>
  <si>
    <t>»Wir machen Kunst für Künstler« : Lohnarbeit in Kunstmanufakturen. Eine ethnografische Studie</t>
  </si>
  <si>
    <t>Schultheis, Franz</t>
  </si>
  <si>
    <t>https://ebookcentral.proquest.com/lib/iuavit/detail.action?docID=6765082</t>
  </si>
  <si>
    <t>Praktiken der (Im-)Mobilisierung : Lager, Sammelunterkünfte und Ankerzentren im Kontext von Asylregimen</t>
  </si>
  <si>
    <t>Devlin, Julia;Evers, Tanja;Goebel, Simon</t>
  </si>
  <si>
    <t>https://ebookcentral.proquest.com/lib/iuavit/detail.action?docID=6765249</t>
  </si>
  <si>
    <t>Generative Bildarbeit : Zum transformativen Potential fotografischer Praxis</t>
  </si>
  <si>
    <t>Brandner, Vera</t>
  </si>
  <si>
    <t>https://ebookcentral.proquest.com/lib/iuavit/detail.action?docID=6765256</t>
  </si>
  <si>
    <t>Überwachen und konsumieren : Kontrolle, Normen und soziale Beziehungen in der digitalen Gesellschaft</t>
  </si>
  <si>
    <t>Zurawski, Nils</t>
  </si>
  <si>
    <t>https://ebookcentral.proquest.com/lib/iuavit/detail.action?docID=6765400</t>
  </si>
  <si>
    <t>Grenzobjekte und Medienforschung : (hg. von Sebastian Gießmann und Nadine Taha)</t>
  </si>
  <si>
    <t>(verst.), Susan Leigh Star;Gießmann, Sebastian;Taha, Nadine</t>
  </si>
  <si>
    <t>https://ebookcentral.proquest.com/lib/iuavit/detail.action?docID=6765436</t>
  </si>
  <si>
    <t>Der transgressive Charakter der Pornografie : Philosophische und feministische Positionen</t>
  </si>
  <si>
    <t>Schocher, Nathan</t>
  </si>
  <si>
    <t>https://ebookcentral.proquest.com/lib/iuavit/detail.action?docID=6765780</t>
  </si>
  <si>
    <t>Pop-Musik sammeln : Zehn ethnografische Tracks zwischen Plattenladen und Streamingportal</t>
  </si>
  <si>
    <t>Elster, Christian</t>
  </si>
  <si>
    <t>https://ebookcentral.proquest.com/lib/iuavit/detail.action?docID=6765781</t>
  </si>
  <si>
    <t>Alltag in der Moschee : Eine Feldforschung jenseits von Integrationsfragen</t>
  </si>
  <si>
    <t>Rückamp, Veronika</t>
  </si>
  <si>
    <t>https://ebookcentral.proquest.com/lib/iuavit/detail.action?docID=6765917</t>
  </si>
  <si>
    <t>Transdifferenz und Transkulturalität : Migration und Alterität in den Literaturen und Kulturen Österreich-Ungarns</t>
  </si>
  <si>
    <t>Millner, Alexandra;Teller, Katalin</t>
  </si>
  <si>
    <t>https://ebookcentral.proquest.com/lib/iuavit/detail.action?docID=6766014</t>
  </si>
  <si>
    <t>Die Welt neu denken lernen - Plädoyer für eine planetare Politik : Lehren aus Corona und anderen existentiellen Krisen</t>
  </si>
  <si>
    <t>Wintersteiner, Werner;Peterlini, Hans Karl;Kromp-Kolb, Helga</t>
  </si>
  <si>
    <t>https://ebookcentral.proquest.com/lib/iuavit/detail.action?docID=6766025</t>
  </si>
  <si>
    <t>Objekte im Netz : Wissenschaftliche Sammlungen im digitalen Wandel</t>
  </si>
  <si>
    <t>Andraschke, Udo;Wagner, Sarah</t>
  </si>
  <si>
    <t>Museums</t>
  </si>
  <si>
    <t>https://ebookcentral.proquest.com/lib/iuavit/detail.action?docID=6766045</t>
  </si>
  <si>
    <t>Thinking the Problematic : Genealogies and Explorations between Philosophy and the Sciences</t>
  </si>
  <si>
    <t>Leistert, Oliver;Schrickel, Isabell</t>
  </si>
  <si>
    <t>https://ebookcentral.proquest.com/lib/iuavit/detail.action?docID=6766061</t>
  </si>
  <si>
    <t>Mikro-Utopien der Architektur : Das utopische Moment architektonischer Minimaltechniken</t>
  </si>
  <si>
    <t>Meireis, Sandra</t>
  </si>
  <si>
    <t>https://ebookcentral.proquest.com/lib/iuavit/detail.action?docID=6766187</t>
  </si>
  <si>
    <t>Use Of Patented Traditional Chinese Medicine Against Covid-19: A Practical Manual</t>
  </si>
  <si>
    <t>Zhai, Huaqiang;Wang, Yanping;Yang, Yiheng;Li, Xiaodong;Shao, Yingjun</t>
  </si>
  <si>
    <t>https://ebookcentral.proquest.com/lib/iuavit/detail.action?docID=6768315</t>
  </si>
  <si>
    <t>Biocomputing 2021 - Proceedings Of The Pacific Symposium</t>
  </si>
  <si>
    <t>Science: General; Science: Biology/Natural History</t>
  </si>
  <si>
    <t>https://ebookcentral.proquest.com/lib/iuavit/detail.action?docID=6768316</t>
  </si>
  <si>
    <t>The Buddhist Poetry of the Great Kamo Priestess : Daisaiin Senshi and Hosshin Wakashu</t>
  </si>
  <si>
    <t>Kamens, Edward</t>
  </si>
  <si>
    <t>PL789</t>
  </si>
  <si>
    <t>895.6/114</t>
  </si>
  <si>
    <t>https://ebookcentral.proquest.com/lib/iuavit/detail.action?docID=6768937</t>
  </si>
  <si>
    <t>Berufs- und Arbeitswelt in der Politischen Bildung : Über Bildungs- und Berufsvorstellungen Jugendlicher Am Ende der Sekundarstufe I in Deutschland Und Österreich</t>
  </si>
  <si>
    <t>Straub, Sarah;Baumgardt, Iris;Lange, Dirk</t>
  </si>
  <si>
    <t>https://ebookcentral.proquest.com/lib/iuavit/detail.action?docID=6784231</t>
  </si>
  <si>
    <t>Active Assisted Living : Anwendungsszenarien und lösungsansätze Für ein Selbstbestimmtes Leben</t>
  </si>
  <si>
    <t>Sailer, Marcel;Mahr, Andreas</t>
  </si>
  <si>
    <t>HV697-4959</t>
  </si>
  <si>
    <t>https://ebookcentral.proquest.com/lib/iuavit/detail.action?docID=6784232</t>
  </si>
  <si>
    <t>Brasilien : $bEine Einführung /$cPeter Birle (Hrsg. )</t>
  </si>
  <si>
    <t>Iberoamericana Editorial Vervuert</t>
  </si>
  <si>
    <t>Birle, Peter</t>
  </si>
  <si>
    <t>https://ebookcentral.proquest.com/lib/iuavit/detail.action?docID=6786043</t>
  </si>
  <si>
    <t>Sublinear Computation Paradigm : Algorithmic Revolution in the Big Data Era</t>
  </si>
  <si>
    <t>Katoh, Naoki;Higashikawa, Yuya;Ito, Hiro;Nagao, Atsuki;Shibuya, Tetsuo;Sljoka, Adnan;Tanaka, Kazuyuki;Uno, Yushi</t>
  </si>
  <si>
    <t>https://ebookcentral.proquest.com/lib/iuavit/detail.action?docID=6787726</t>
  </si>
  <si>
    <t>Mutation Breeding, Genetic Diversity and Crop Adaptation to Climate Change</t>
  </si>
  <si>
    <t>Sivasankar, Sobhana;Ellis, Thomas Henry Noel;Jankuloski, Ljupcho;Ingelbrecht, Ivan</t>
  </si>
  <si>
    <t>https://ebookcentral.proquest.com/lib/iuavit/detail.action?docID=6789170</t>
  </si>
  <si>
    <t>Ancient Greek I : A 21st Century Approach</t>
  </si>
  <si>
    <t>Peek, Philip S.</t>
  </si>
  <si>
    <t>Literature; Education; Language/Linguistics</t>
  </si>
  <si>
    <t>https://ebookcentral.proquest.com/lib/iuavit/detail.action?docID=6789405</t>
  </si>
  <si>
    <t>Circulation and Control : Artistic Culture and Intellectual Property in the Nineteenth Century</t>
  </si>
  <si>
    <t>Delamaire, Marie-Stéphanie;Slauter, Will</t>
  </si>
  <si>
    <t>https://ebookcentral.proquest.com/lib/iuavit/detail.action?docID=6789406</t>
  </si>
  <si>
    <t>Agile Processes in Software Engineering and Extreme Programming - Workshops : XP 2021 Workshops, Virtual Event, June 14-18, 2021, Revised Selected Papers</t>
  </si>
  <si>
    <t>Gregory, Peggy;Kruchten, Philippe</t>
  </si>
  <si>
    <t>https://ebookcentral.proquest.com/lib/iuavit/detail.action?docID=6789528</t>
  </si>
  <si>
    <t>Von Einem Traum Getrieben : Wie der Physiker Rolf Widerøe Den Teilchenbeschleuniger Erfand</t>
  </si>
  <si>
    <t>Sørheim, Aashild;Stilzebach, Daniela</t>
  </si>
  <si>
    <t>QC15-16</t>
  </si>
  <si>
    <t>https://ebookcentral.proquest.com/lib/iuavit/detail.action?docID=6789529</t>
  </si>
  <si>
    <t>Climate Change and Community Resilience : Insights from South Asia</t>
  </si>
  <si>
    <t>Haque, A. K. Enamul;Mukhopadhyay, Pranab;Nepal, Mani;Shammin, Rumi</t>
  </si>
  <si>
    <t>https://ebookcentral.proquest.com/lib/iuavit/detail.action?docID=6789530</t>
  </si>
  <si>
    <t>Educational Perspectives on Mediality and Subjectivation : Discourse, Power and Analysis</t>
  </si>
  <si>
    <t>Bettinger, Patrick</t>
  </si>
  <si>
    <t>https://ebookcentral.proquest.com/lib/iuavit/detail.action?docID=6789986</t>
  </si>
  <si>
    <t>How to Practice Academic Medicine and Publish from Developing Countries? : A Practical Guide</t>
  </si>
  <si>
    <t>Nundy, Samiran;Kakar, Atul;Bhutta, Zulfiqar A</t>
  </si>
  <si>
    <t>https://ebookcentral.proquest.com/lib/iuavit/detail.action?docID=6790720</t>
  </si>
  <si>
    <t>Pandemics: Insurance and Social Protection</t>
  </si>
  <si>
    <t>Boado-Penas, María del Carmen;Eisenberg, Julia;Şahin‬‬‬, Şule</t>
  </si>
  <si>
    <t>HG8779-8793</t>
  </si>
  <si>
    <t>https://ebookcentral.proquest.com/lib/iuavit/detail.action?docID=6790721</t>
  </si>
  <si>
    <t>Transforming Markets : A Development Bank for the 21st Century. a History of the EBRD, Volume 2</t>
  </si>
  <si>
    <t>Kilpatrick, Andrew;Williams, Anthony</t>
  </si>
  <si>
    <t>https://ebookcentral.proquest.com/lib/iuavit/detail.action?docID=6791473</t>
  </si>
  <si>
    <t>Understanding Well-Being Data : Improving Social and Cultural Policy, Practice and Research</t>
  </si>
  <si>
    <t>Oman, Susan</t>
  </si>
  <si>
    <t>https://ebookcentral.proquest.com/lib/iuavit/detail.action?docID=6792516</t>
  </si>
  <si>
    <t>Brand Content und Brand Image : Experimentelle Studie über Die Wirkung Von Brand Content Auf Imagedimensionen</t>
  </si>
  <si>
    <t>Albisser, Matthias</t>
  </si>
  <si>
    <t>HM741-743</t>
  </si>
  <si>
    <t>https://ebookcentral.proquest.com/lib/iuavit/detail.action?docID=6792517</t>
  </si>
  <si>
    <t>Towards a Sustainable Future - Life Cycle Management : Challenges and Prospects</t>
  </si>
  <si>
    <t>Klos, Zbigniew Stanislaw;Kalkowska, Joanna;Kasprzak, Jędrzej</t>
  </si>
  <si>
    <t>https://ebookcentral.proquest.com/lib/iuavit/detail.action?docID=6792518</t>
  </si>
  <si>
    <t>Russische Errungenschaften in der Physiologie der Verdauung : Vom Späten 19. Bis Zum Beginnenden 20. Jahrhundert</t>
  </si>
  <si>
    <t>Balalykin, Dmitry A.</t>
  </si>
  <si>
    <t>https://ebookcentral.proquest.com/lib/iuavit/detail.action?docID=6792519</t>
  </si>
  <si>
    <t>Principles and Pedagogies in Jewish Education</t>
  </si>
  <si>
    <t>Chazan, Barry</t>
  </si>
  <si>
    <t>Religion; Education</t>
  </si>
  <si>
    <t>LB1-3640</t>
  </si>
  <si>
    <t>https://ebookcentral.proquest.com/lib/iuavit/detail.action?docID=6792520</t>
  </si>
  <si>
    <t>Arzneimittel-Kompass 2021 : Hochpreisige Arzneimittel - Herausforderung und Perspektiven</t>
  </si>
  <si>
    <t>Schröder, Helmut;Thürmann, Petra;Telschow, Carsten;Schröder, Melanie;Busse, Reinhard</t>
  </si>
  <si>
    <t>https://ebookcentral.proquest.com/lib/iuavit/detail.action?docID=6794040</t>
  </si>
  <si>
    <t>Access to Medicines and Vaccines : Implementing Flexibilities under Intellectual Property Law</t>
  </si>
  <si>
    <t>Correa, Carlos M.;Hilty, Reto M.</t>
  </si>
  <si>
    <t>https://ebookcentral.proquest.com/lib/iuavit/detail.action?docID=6794041</t>
  </si>
  <si>
    <t>To Make Negro Literature : Writing, Literary Practice, and African American Authorship</t>
  </si>
  <si>
    <t>McHenry, Elizabeth</t>
  </si>
  <si>
    <t>PS153</t>
  </si>
  <si>
    <t>https://ebookcentral.proquest.com/lib/iuavit/detail.action?docID=6794664</t>
  </si>
  <si>
    <t>Cybersecurity in Poland : Legal Aspects</t>
  </si>
  <si>
    <t>Chałubińska-Jentkiewicz, Katarzyna;Radoniewicz, Filip;Zieliński, Tadeusz</t>
  </si>
  <si>
    <t>https://ebookcentral.proquest.com/lib/iuavit/detail.action?docID=6795398</t>
  </si>
  <si>
    <t>Digitalisierung in Studium und Lehre Gemeinsam Gestalten : Innovative Formate, Strategien und Netzwerke</t>
  </si>
  <si>
    <t>Hochschulforum Digitalisierung</t>
  </si>
  <si>
    <t>https://ebookcentral.proquest.com/lib/iuavit/detail.action?docID=6795399</t>
  </si>
  <si>
    <t>Gouverner la Biodiversité Ou Comment Réussir à échouer</t>
  </si>
  <si>
    <t>Devictor, Vincent</t>
  </si>
  <si>
    <t>Political Science; Environmental Studies</t>
  </si>
  <si>
    <t>https://ebookcentral.proquest.com/lib/iuavit/detail.action?docID=6795858</t>
  </si>
  <si>
    <t>The CIA in Ecuador</t>
  </si>
  <si>
    <t>Becker, Marc</t>
  </si>
  <si>
    <t>JL3029</t>
  </si>
  <si>
    <t>https://ebookcentral.proquest.com/lib/iuavit/detail.action?docID=6796033</t>
  </si>
  <si>
    <t>The Comprehensive Cancer Center : Development, Integration, and Implementation</t>
  </si>
  <si>
    <t>Aljurf, Mahmoud;Majhail, Navneet S.;Koh, Mickey B. C.;Kharfan-Dabaja, Mohamed A.;Chao, Nelson J.</t>
  </si>
  <si>
    <t>https://ebookcentral.proquest.com/lib/iuavit/detail.action?docID=6796069</t>
  </si>
  <si>
    <t>Open Science: the Very Idea</t>
  </si>
  <si>
    <t>Miedema, Frank</t>
  </si>
  <si>
    <t>https://ebookcentral.proquest.com/lib/iuavit/detail.action?docID=6796354</t>
  </si>
  <si>
    <t>Physics of Earth's Radiation Belts : Theory and Observations</t>
  </si>
  <si>
    <t>Koskinen, Hannu E. J.;Kilpua, Emilia K. J.</t>
  </si>
  <si>
    <t>https://ebookcentral.proquest.com/lib/iuavit/detail.action?docID=6796477</t>
  </si>
  <si>
    <t>Creating Resilient Futures : Integrating Disaster Risk Reduction, Sustainable Development Goals and Climate Change Adaptation Agendas</t>
  </si>
  <si>
    <t>Flood, Stephen;Jerez Columbié, Yairen;Le Tissier, Martin;O'Dwyer, Barry</t>
  </si>
  <si>
    <t>https://ebookcentral.proquest.com/lib/iuavit/detail.action?docID=6796478</t>
  </si>
  <si>
    <t>Sociological Debates on Gestational Surrogacy : Between Legitimation and International Abolition</t>
  </si>
  <si>
    <t>Bandelli, Daniela</t>
  </si>
  <si>
    <t>https://ebookcentral.proquest.com/lib/iuavit/detail.action?docID=6796479</t>
  </si>
  <si>
    <t>Gaming the Stage : Playable Media and the Rise of English Commercial Theater</t>
  </si>
  <si>
    <t>Bloom, Gina</t>
  </si>
  <si>
    <t>PN2590</t>
  </si>
  <si>
    <t>https://ebookcentral.proquest.com/lib/iuavit/detail.action?docID=6796730</t>
  </si>
  <si>
    <t>China and the West : Music, Representation, and Reception</t>
  </si>
  <si>
    <t>Saffle, Michael;Yang, Hon-Lun</t>
  </si>
  <si>
    <t>ML193</t>
  </si>
  <si>
    <t>https://ebookcentral.proquest.com/lib/iuavit/detail.action?docID=6797321</t>
  </si>
  <si>
    <t>Learning Cultural Literacy Through Creative Practices in Schools : Cultural and Multimodal Approaches to Meaning-Making</t>
  </si>
  <si>
    <t>Lähdesmäki, Tuuli;Baranova, Jūratė;Ylönen, Susanne C.;Koistinen, Aino-Kaisa;Mäkinen, Katja;Juskiene, Vaiva;Zaleskiene, Irena</t>
  </si>
  <si>
    <t>https://ebookcentral.proquest.com/lib/iuavit/detail.action?docID=6798120</t>
  </si>
  <si>
    <t>World Protests : A Study of Key Protest Issues in the 21st Century</t>
  </si>
  <si>
    <t>Ortiz, Isabel;Burke, Sara;Berrada, Mohamed;Saenz Cortés, Hernán</t>
  </si>
  <si>
    <t>https://ebookcentral.proquest.com/lib/iuavit/detail.action?docID=6798731</t>
  </si>
  <si>
    <t>Macroeconomic Modelling of R&amp;d and Innovation Policies</t>
  </si>
  <si>
    <t>Akcigit, Ufuk;Benedetti Fasil, Cristiana;Impullitti, Giammario;Licandro, Omar;Sanchez-Martinez, Miguel</t>
  </si>
  <si>
    <t>https://ebookcentral.proquest.com/lib/iuavit/detail.action?docID=6798732</t>
  </si>
  <si>
    <t>Partial Least Squares Structural Equation Modeling (PLS-SEM) Using R : A Workbook</t>
  </si>
  <si>
    <t>Hair Jr., Joseph F.;Hult, G. Tomas M.;Ringle, Christian M.;Sarstedt, Marko;Danks, Nicholas P.;Ray, Soumya</t>
  </si>
  <si>
    <t>HF5410-5417.5</t>
  </si>
  <si>
    <t>https://ebookcentral.proquest.com/lib/iuavit/detail.action?docID=6798733</t>
  </si>
  <si>
    <t>The Anatomy of Post-Communist Regimes : A Conceptual Framework</t>
  </si>
  <si>
    <t>Magyar, Bálint;Madlovics, Bálint</t>
  </si>
  <si>
    <t>HN380.7.A8M34 2020</t>
  </si>
  <si>
    <t>https://ebookcentral.proquest.com/lib/iuavit/detail.action?docID=6798965</t>
  </si>
  <si>
    <t>Making Muslim Women European : Voluntary Associations, Gender, and Islam in Post-Ottoman Bosnia and Yugoslavia (1878-1941)</t>
  </si>
  <si>
    <t>Giomi, Fabio</t>
  </si>
  <si>
    <t>https://ebookcentral.proquest.com/lib/iuavit/detail.action?docID=6798966</t>
  </si>
  <si>
    <t>The Tsar, the Empire, and the Nation : Dilemmas of Nationalization in Russia's Western Borderlands, 1905-1915</t>
  </si>
  <si>
    <t>Staliūnas, Darius;Aoshima, Yoko</t>
  </si>
  <si>
    <t>https://ebookcentral.proquest.com/lib/iuavit/detail.action?docID=6798967</t>
  </si>
  <si>
    <t>Nation and Migration : How Citizens in Europe Are Coping with Xenophobia</t>
  </si>
  <si>
    <t>Csepeli, György;Örkény, Antal</t>
  </si>
  <si>
    <t>https://ebookcentral.proquest.com/lib/iuavit/detail.action?docID=6798968</t>
  </si>
  <si>
    <t>Documentary Making for Digital Humanists</t>
  </si>
  <si>
    <t>Reid, Darren R.;Sanders, Brett</t>
  </si>
  <si>
    <t>Fine Arts; Engineering: General</t>
  </si>
  <si>
    <t>https://ebookcentral.proquest.com/lib/iuavit/detail.action?docID=6799160</t>
  </si>
  <si>
    <t>Forms of Life and Subjectivity : Rethinking Sartre's Philosophy</t>
  </si>
  <si>
    <t>Rueda Garrido, Daniel</t>
  </si>
  <si>
    <t>https://ebookcentral.proquest.com/lib/iuavit/detail.action?docID=6799161</t>
  </si>
  <si>
    <t>Mobilitäts- und Transportrecht in Europa : Bestandsaufnahme und Zukunftsperspektiven</t>
  </si>
  <si>
    <t>https://ebookcentral.proquest.com/lib/iuavit/detail.action?docID=6799468</t>
  </si>
  <si>
    <t>Deep Integration, Global Firms, and Technology Spillovers</t>
  </si>
  <si>
    <t>Jinji, Naoto;Zhang, Xingyuan;Haruna, Shoji</t>
  </si>
  <si>
    <t>https://ebookcentral.proquest.com/lib/iuavit/detail.action?docID=6803040</t>
  </si>
  <si>
    <t>Russia's Role in the Contemporary International Agri-Food Trade System</t>
  </si>
  <si>
    <t>Wegren, Stephen K.;Nilssen, Frode</t>
  </si>
  <si>
    <t>https://ebookcentral.proquest.com/lib/iuavit/detail.action?docID=6803041</t>
  </si>
  <si>
    <t>Dinaric Perspectives on TIMSS 2019 : Teaching and Learning Mathematics and Science in South-Eastern Europe</t>
  </si>
  <si>
    <t>Japelj Pavesić, Barbara;Korsňáková, Paulína;Meinck, Sabine</t>
  </si>
  <si>
    <t>https://ebookcentral.proquest.com/lib/iuavit/detail.action?docID=6803042</t>
  </si>
  <si>
    <t>Better Work : The Impact of Automation, Flexibilization and Intensification of Work</t>
  </si>
  <si>
    <t>Kremer, Monique;Went, Robert;Engbersen, Godfried</t>
  </si>
  <si>
    <t>https://ebookcentral.proquest.com/lib/iuavit/detail.action?docID=6803856</t>
  </si>
  <si>
    <t>Surveying Climate-Relevant Behavior : Measurements, Obstacles, and Implications</t>
  </si>
  <si>
    <t>Hadler, Markus;Klösch, Beate;Schwarzinger, Stephan;Schweighart, Markus;Wardana, Rebecca;Bird, David Neil</t>
  </si>
  <si>
    <t>https://ebookcentral.proquest.com/lib/iuavit/detail.action?docID=6803857</t>
  </si>
  <si>
    <t>Periphery and Small Ones Matter : Interplay of Policy and Social Capital</t>
  </si>
  <si>
    <t>Azis, Iwan J.</t>
  </si>
  <si>
    <t>https://ebookcentral.proquest.com/lib/iuavit/detail.action?docID=6803858</t>
  </si>
  <si>
    <t>Groundwater Overexploitation in the North China Plain: a Path to Sustainability</t>
  </si>
  <si>
    <t>Kinzelbach, Wolfgang;Wang, Haijing;Li, Yu;Wang, Lu;Li, Ning</t>
  </si>
  <si>
    <t>https://ebookcentral.proquest.com/lib/iuavit/detail.action?docID=6803859</t>
  </si>
  <si>
    <t>Chinese Paintings in Chinese Publications, 1956-1968 : An Annotated Bibliography and Index to the Paintings</t>
  </si>
  <si>
    <t>Laing, Ellen</t>
  </si>
  <si>
    <t>Z5949</t>
  </si>
  <si>
    <t>https://ebookcentral.proquest.com/lib/iuavit/detail.action?docID=6804588</t>
  </si>
  <si>
    <t>The Swedish FrameNet++ : Harmonization, Integration, Method Development and Practical Language Technology Applications</t>
  </si>
  <si>
    <t>Dannélls, Dana;Borin, Lars;Friberg Heppin, Karin</t>
  </si>
  <si>
    <t>PD5611</t>
  </si>
  <si>
    <t>https://ebookcentral.proquest.com/lib/iuavit/detail.action?docID=6804703</t>
  </si>
  <si>
    <t>Understanding Energy Innovation : Learning from Smart Grid Experiments</t>
  </si>
  <si>
    <t>Lovell, Heather</t>
  </si>
  <si>
    <t>https://ebookcentral.proquest.com/lib/iuavit/detail.action?docID=6805380</t>
  </si>
  <si>
    <t>Sustainable Mobility for Island Destinations</t>
  </si>
  <si>
    <t>Tsoutsos, Theocharis</t>
  </si>
  <si>
    <t>https://ebookcentral.proquest.com/lib/iuavit/detail.action?docID=6805754</t>
  </si>
  <si>
    <t>Urban Matters : Current Approaches in Variationist Sociolinguistics</t>
  </si>
  <si>
    <t>Ziegler, Arne;Edler, Stefanie;Oberdorfer, Georg</t>
  </si>
  <si>
    <t>P40.5.U73</t>
  </si>
  <si>
    <t>https://ebookcentral.proquest.com/lib/iuavit/detail.action?docID=6808492</t>
  </si>
  <si>
    <t>Economy Studies : A Guide to Rethinking Economics Education</t>
  </si>
  <si>
    <t>de Muijnck, Sam;Tieleman, Joris</t>
  </si>
  <si>
    <t>https://ebookcentral.proquest.com/lib/iuavit/detail.action?docID=6808949</t>
  </si>
  <si>
    <t>Integrated Nematode Management : State-Of-the-Art and Visions for the Future</t>
  </si>
  <si>
    <t>Sikora, Richard;Desaeger, Johan;Molendijk, Leendert P. G.;Duncan, Larry;Dababat, Amer A. S.;Singh, Ravi;Ali, Muhammad Amjad;Smiley, Richard W.;Simon, Abasola C. M.;Lopez-Nicora, Horacio D.</t>
  </si>
  <si>
    <t>https://ebookcentral.proquest.com/lib/iuavit/detail.action?docID=6808955</t>
  </si>
  <si>
    <t>Une écologie de L'alimentation</t>
  </si>
  <si>
    <t>Bricas, Nicolas;Conaré, Damien;Walser, Marie;Fischler, Claude</t>
  </si>
  <si>
    <t>https://ebookcentral.proquest.com/lib/iuavit/detail.action?docID=6810668</t>
  </si>
  <si>
    <t>Towards Resilient Organizations and Societies : A Cross-Sectoral and Multi-Disciplinary Perspective</t>
  </si>
  <si>
    <t>Pinheiro, Rómulo;Frigotto, Maria Laura;Young, Mitchell</t>
  </si>
  <si>
    <t>https://ebookcentral.proquest.com/lib/iuavit/detail.action?docID=6811598</t>
  </si>
  <si>
    <t>The Distributed University for Sustainable Higher Education</t>
  </si>
  <si>
    <t>Heller, Richard Frederick</t>
  </si>
  <si>
    <t>https://ebookcentral.proquest.com/lib/iuavit/detail.action?docID=6811599</t>
  </si>
  <si>
    <t>Urban Inequality and Segregation in Europe and China : Towards a New Dialogue</t>
  </si>
  <si>
    <t>Pryce, Gwilym;Wang, Ya-ping;Chen, Yu;Shan, Jingjing;Wei, Houkai</t>
  </si>
  <si>
    <t>https://ebookcentral.proquest.com/lib/iuavit/detail.action?docID=6811600</t>
  </si>
  <si>
    <t>Development and Characterization of a Dispersion-Encoded Method for Low-Coherence Interferometry</t>
  </si>
  <si>
    <t>Taudt, Christopher</t>
  </si>
  <si>
    <t>TA1671-1707</t>
  </si>
  <si>
    <t>https://ebookcentral.proquest.com/lib/iuavit/detail.action?docID=6811601</t>
  </si>
  <si>
    <t>Freiwilliges Engagement in Deutschland : Der Deutsche Freiwilligensurvey 2019</t>
  </si>
  <si>
    <t>Simonson, Julia;Kelle, Nadiya;Kausmann, Corinna;Tesch-Römer, Clemens</t>
  </si>
  <si>
    <t>https://ebookcentral.proquest.com/lib/iuavit/detail.action?docID=6811602</t>
  </si>
  <si>
    <t>Continental Philosophy of Technoscience</t>
  </si>
  <si>
    <t>Zwart, Hub</t>
  </si>
  <si>
    <t>https://ebookcentral.proquest.com/lib/iuavit/detail.action?docID=6811603</t>
  </si>
  <si>
    <t>Uprooting Bias in the Academy : Lessons from the Field</t>
  </si>
  <si>
    <t>Bisson, Linda F.;Grindstaff, Laura;Brazil-Cruz, Lisceth;Barbu, Sophie J.</t>
  </si>
  <si>
    <t>https://ebookcentral.proquest.com/lib/iuavit/detail.action?docID=6811604</t>
  </si>
  <si>
    <t>Perspectives on Digital Humanism</t>
  </si>
  <si>
    <t>Werthner, Hannes;Prem, Erich;Lee, Edward A.;Ghezzi, Carlo</t>
  </si>
  <si>
    <t>QA76.9.C66</t>
  </si>
  <si>
    <t>https://ebookcentral.proquest.com/lib/iuavit/detail.action?docID=6811605</t>
  </si>
  <si>
    <t>Greening the Greyfields : New Models for Regenerating the Middle Suburbs of Low-Density Cities</t>
  </si>
  <si>
    <t>Newton, Peter W.;Newman, Peter W. G.;Glackin, Stephen;Thomson, Giles</t>
  </si>
  <si>
    <t>https://ebookcentral.proquest.com/lib/iuavit/detail.action?docID=6811606</t>
  </si>
  <si>
    <t>Life Skills Education for Youth : Critical Perspectives</t>
  </si>
  <si>
    <t>DeJaeghere, Joan;Murphy-Graham, Erin</t>
  </si>
  <si>
    <t>HQ2035-2039</t>
  </si>
  <si>
    <t>https://ebookcentral.proquest.com/lib/iuavit/detail.action?docID=6811607</t>
  </si>
  <si>
    <t>Research Methodologies and Ethical Challenges in Digital Migration Studies : Caring for (Big) Data?</t>
  </si>
  <si>
    <t>Sandberg, Marie;Rossi, Luca;Galis, Vasilis;Bak Jørgensen, Martin</t>
  </si>
  <si>
    <t>Political Science; Computer Science/IT</t>
  </si>
  <si>
    <t>https://ebookcentral.proquest.com/lib/iuavit/detail.action?docID=6811608</t>
  </si>
  <si>
    <t>Land Governance and Gender : The Tenure-Gender Nexus in Land Management and Land Policy</t>
  </si>
  <si>
    <t>Chigbu, Uchendu Eugene</t>
  </si>
  <si>
    <t>https://ebookcentral.proquest.com/lib/iuavit/detail.action?docID=6812058</t>
  </si>
  <si>
    <t>Networks and Geographies of Global Social Policy Diffusion : Culture, Economy, and Colonial Legacies</t>
  </si>
  <si>
    <t>Windzio, Michael;Mossig, Ivo;Besche-Truthe, Fabian;Seitzer, Helen</t>
  </si>
  <si>
    <t>https://ebookcentral.proquest.com/lib/iuavit/detail.action?docID=6812599</t>
  </si>
  <si>
    <t>Climate-Smart Forestry in Mountain Regions</t>
  </si>
  <si>
    <t>Tognetti, Roberto;Smith, Melanie;Panzacchi, Pietro</t>
  </si>
  <si>
    <t>https://ebookcentral.proquest.com/lib/iuavit/detail.action?docID=6812600</t>
  </si>
  <si>
    <t>Swiss Energy Governance : Political, Economic and Legal Challenges and Opportunities in the Energy Transition</t>
  </si>
  <si>
    <t>Hettich, Peter;Kachi, Aya</t>
  </si>
  <si>
    <t>https://ebookcentral.proquest.com/lib/iuavit/detail.action?docID=6812601</t>
  </si>
  <si>
    <t>Japan Nutrition</t>
  </si>
  <si>
    <t>Nakamura, Teiji</t>
  </si>
  <si>
    <t>RA784</t>
  </si>
  <si>
    <t>https://ebookcentral.proquest.com/lib/iuavit/detail.action?docID=6816744</t>
  </si>
  <si>
    <t>Künstliche Intelligenz in der Forschung : Neue Möglichkeiten und Herausforderungen Für Die Wissenschaft</t>
  </si>
  <si>
    <t>Gethmann, Carl Friedrich;Buxmann, Peter;Distelrath, Julia;Humm, Bernhard G.;Lingner, Stephan;Nitsch, Verena;Schmidt, Jan C.;Spiecker genannt Döhmann, Indra</t>
  </si>
  <si>
    <t>https://ebookcentral.proquest.com/lib/iuavit/detail.action?docID=6816745</t>
  </si>
  <si>
    <t>Empire under the Microscope : Parasitology and the British Literary Imagination, 1885-1935</t>
  </si>
  <si>
    <t>Taylor-Pirie, Emilie</t>
  </si>
  <si>
    <t>PN760.5-769</t>
  </si>
  <si>
    <t>https://ebookcentral.proquest.com/lib/iuavit/detail.action?docID=6816746</t>
  </si>
  <si>
    <t>Parasites, Pussycats and Psychosis : The Unknown Dangers of Human Toxoplasmosis</t>
  </si>
  <si>
    <t>Torrey, E. Fuller</t>
  </si>
  <si>
    <t>https://ebookcentral.proquest.com/lib/iuavit/detail.action?docID=6819342</t>
  </si>
  <si>
    <t>Méthodes d'investigation de l'alimentation et des Mangeurs : Miam</t>
  </si>
  <si>
    <t>Lepiller, Olivier;Fournier, Tristan;Bricas, Nicolas;Figuié, Muriel</t>
  </si>
  <si>
    <t>https://ebookcentral.proquest.com/lib/iuavit/detail.action?docID=6819668</t>
  </si>
  <si>
    <t>Digital Tools in Urban Schools : Mediating a Remix of Learning</t>
  </si>
  <si>
    <t>Mahiri, Jabari</t>
  </si>
  <si>
    <t>LC5131</t>
  </si>
  <si>
    <t>371.009173/2</t>
  </si>
  <si>
    <t>https://ebookcentral.proquest.com/lib/iuavit/detail.action?docID=6819940</t>
  </si>
  <si>
    <t>Originality, Imitation, and Plagiarism : Teaching Writing in the Digital Age</t>
  </si>
  <si>
    <t>Vicinus, Martha;Eisner, Caroline</t>
  </si>
  <si>
    <t>PN167</t>
  </si>
  <si>
    <t>https://ebookcentral.proquest.com/lib/iuavit/detail.action?docID=6819941</t>
  </si>
  <si>
    <t>Parodies of Ownership : Hip-Hop Aesthetics and Intellectual Property Law</t>
  </si>
  <si>
    <t>Schur, Richard L.</t>
  </si>
  <si>
    <t>KF4757</t>
  </si>
  <si>
    <t>346.7304/82</t>
  </si>
  <si>
    <t>https://ebookcentral.proquest.com/lib/iuavit/detail.action?docID=6819942</t>
  </si>
  <si>
    <t>The Hyperlinked Society : Questioning Connections in the Digital Age</t>
  </si>
  <si>
    <t>Turow, Joseph;Tsui, Lokman</t>
  </si>
  <si>
    <t>HM851</t>
  </si>
  <si>
    <t>303.48/33</t>
  </si>
  <si>
    <t>https://ebookcentral.proquest.com/lib/iuavit/detail.action?docID=6819943</t>
  </si>
  <si>
    <t>Iron Will : Global Extractivism and Mining Resistance in Brazil and India</t>
  </si>
  <si>
    <t>Kroger, Markus</t>
  </si>
  <si>
    <t>HD9524</t>
  </si>
  <si>
    <t>https://ebookcentral.proquest.com/lib/iuavit/detail.action?docID=6819945</t>
  </si>
  <si>
    <t>Hacking the Academy : New Approaches to Scholarship and Teaching from Digital Humanities</t>
  </si>
  <si>
    <t>Cohen, Daniel J.;Scheinfeldt, Joseph Thomas</t>
  </si>
  <si>
    <t>AZ186</t>
  </si>
  <si>
    <t>https://ebookcentral.proquest.com/lib/iuavit/detail.action?docID=6819946</t>
  </si>
  <si>
    <t>Alienation Effects : Performance and Self-Management in Yugoslavia, 1945-91</t>
  </si>
  <si>
    <t>Jakovljevic, Branislav</t>
  </si>
  <si>
    <t>???</t>
  </si>
  <si>
    <t>791.09497/09045</t>
  </si>
  <si>
    <t>https://ebookcentral.proquest.com/lib/iuavit/detail.action?docID=6819947</t>
  </si>
  <si>
    <t>Owning the Olympics : Narratives of the New China</t>
  </si>
  <si>
    <t>Price, Monroe;Dayan, Daniel</t>
  </si>
  <si>
    <t>GV722</t>
  </si>
  <si>
    <t>https://ebookcentral.proquest.com/lib/iuavit/detail.action?docID=6819948</t>
  </si>
  <si>
    <t>Myst and Riven : The World of the D'ni</t>
  </si>
  <si>
    <t>Wolf, Mark J. P.</t>
  </si>
  <si>
    <t>793.93/2</t>
  </si>
  <si>
    <t>https://ebookcentral.proquest.com/lib/iuavit/detail.action?docID=6819949</t>
  </si>
  <si>
    <t>Pastplay : Teaching and Learning History with Technology</t>
  </si>
  <si>
    <t>Kee, Kevin</t>
  </si>
  <si>
    <t>https://ebookcentral.proquest.com/lib/iuavit/detail.action?docID=6819950</t>
  </si>
  <si>
    <t>Is William Martinez Not Our Brother? : Twenty Years of the Prison Creative Arts Project</t>
  </si>
  <si>
    <t>Alexander, William</t>
  </si>
  <si>
    <t>HV8883</t>
  </si>
  <si>
    <t>365/.66</t>
  </si>
  <si>
    <t>https://ebookcentral.proquest.com/lib/iuavit/detail.action?docID=6819951</t>
  </si>
  <si>
    <t>Soziale Armut : Wahrnehmung und Bewältigung Von Armut in Sozialen Netzwerken</t>
  </si>
  <si>
    <t>Knabe, André</t>
  </si>
  <si>
    <t>https://ebookcentral.proquest.com/lib/iuavit/detail.action?docID=6819993</t>
  </si>
  <si>
    <t>Socio-Life Science and the COVID-19 Outbreak : Public Health and Public Policy</t>
  </si>
  <si>
    <t>Yano, Makoto;Matsuda, Fumihiko;Sakuntabhai, Anavaj;Hirota, Shigeru</t>
  </si>
  <si>
    <t>https://ebookcentral.proquest.com/lib/iuavit/detail.action?docID=6819994</t>
  </si>
  <si>
    <t>China's Long-Term Low-Carbon Development Strategies and Pathways : Comprehensive Report</t>
  </si>
  <si>
    <t>Institute of Climate Change and Sustainable Development of Tsinghua University et al., Institute of</t>
  </si>
  <si>
    <t>https://ebookcentral.proquest.com/lib/iuavit/detail.action?docID=6819995</t>
  </si>
  <si>
    <t>The Gender Regime of Anti-Liberal Hungary</t>
  </si>
  <si>
    <t>Fodor, Éva</t>
  </si>
  <si>
    <t>https://ebookcentral.proquest.com/lib/iuavit/detail.action?docID=6819996</t>
  </si>
  <si>
    <t>Biocomputing 2022 - Proceedings Of The Pacific Symposium</t>
  </si>
  <si>
    <t>Science: Biology/Natural History; Science: Chemistry</t>
  </si>
  <si>
    <t>https://ebookcentral.proquest.com/lib/iuavit/detail.action?docID=6823353</t>
  </si>
  <si>
    <t>Transformer le Lait Local en Afrique de L'Ouest : Procédés et Clés du développement des Minilaiteries</t>
  </si>
  <si>
    <t>Broutin, Cécile;Goudiaby, Marie-Christine</t>
  </si>
  <si>
    <t>Business/Management; Engineering: Manufacturing; Engineering: Chemical</t>
  </si>
  <si>
    <t>https://ebookcentral.proquest.com/lib/iuavit/detail.action?docID=6823965</t>
  </si>
  <si>
    <t>Coexistence et Confrontation des Modèles Agricoles et Alimentaires : Un Nouveau Paradigme du développement Territorial ?</t>
  </si>
  <si>
    <t>Gasselin, Pierre;Lardon, Sylvie;Cerdan, Claire;Loudiyi, Salma;Sautier, Denis;Van der Ploeg, Jan Douwe</t>
  </si>
  <si>
    <t>https://ebookcentral.proquest.com/lib/iuavit/detail.action?docID=6824043</t>
  </si>
  <si>
    <t>Reimagining Science Education in the Anthropocene</t>
  </si>
  <si>
    <t>Wallace, Maria F. G.;Bazzul, Jesse;Higgins, Marc;Tolbert, Sara</t>
  </si>
  <si>
    <t>Science: General; Science</t>
  </si>
  <si>
    <t>https://ebookcentral.proquest.com/lib/iuavit/detail.action?docID=6824245</t>
  </si>
  <si>
    <t>Sustainable Commodity Use : Its Governance, Legal Framework, and Future Regulatory Instruments</t>
  </si>
  <si>
    <t>Oehl, Maximilian Eduard</t>
  </si>
  <si>
    <t>https://ebookcentral.proquest.com/lib/iuavit/detail.action?docID=6824265</t>
  </si>
  <si>
    <t>Water Security, Conflict and Cooperation in Peri-Urban South Asia : Flows Across Boundaries</t>
  </si>
  <si>
    <t>Narain, Vishal;Roth, Dik</t>
  </si>
  <si>
    <t>Geography/Travel; Social Science; Environmental Studies</t>
  </si>
  <si>
    <t>https://ebookcentral.proquest.com/lib/iuavit/detail.action?docID=6824273</t>
  </si>
  <si>
    <t>Banishment in the Late Medieval Eastern Netherlands : Exile and Redemption in Kampen</t>
  </si>
  <si>
    <t>Frankot, Edda</t>
  </si>
  <si>
    <t>D111-203</t>
  </si>
  <si>
    <t>https://ebookcentral.proquest.com/lib/iuavit/detail.action?docID=6824280</t>
  </si>
  <si>
    <t>Green Economy in the Transport Sector : A Case Study of Limpopo Province, South Africa</t>
  </si>
  <si>
    <t>Odiyo, John Ogony;Bikam, Peter Bitta;Chakwizira, James</t>
  </si>
  <si>
    <t>https://ebookcentral.proquest.com/lib/iuavit/detail.action?docID=6824282</t>
  </si>
  <si>
    <t>Knowledge and Civil Society</t>
  </si>
  <si>
    <t>Glückler, Johannes;Meyer, Heinz-Dieter;Suarsana, Laura</t>
  </si>
  <si>
    <t>https://ebookcentral.proquest.com/lib/iuavit/detail.action?docID=6824289</t>
  </si>
  <si>
    <t>Governance and Service Delivery : Practical Applications of Social Accountability Across Sectors</t>
  </si>
  <si>
    <t>RTI International / RTI Press</t>
  </si>
  <si>
    <t>Brinkerhoff, Derick W.;Wetterberg, Anna;Hertz, Jana C.</t>
  </si>
  <si>
    <t>HM671.G68 20216</t>
  </si>
  <si>
    <t>https://ebookcentral.proquest.com/lib/iuavit/detail.action?docID=6824317</t>
  </si>
  <si>
    <t>Improving Outcomes : For Noncommunicable Diseases in Low- and Middle-Income Countries</t>
  </si>
  <si>
    <t>LaBresh, Kenneth A.</t>
  </si>
  <si>
    <t>RA644.5.I47 2016</t>
  </si>
  <si>
    <t>https://ebookcentral.proquest.com/lib/iuavit/detail.action?docID=6824318</t>
  </si>
  <si>
    <t>Innovations in Home Energy Use : A Sourcebook for Behavior Change</t>
  </si>
  <si>
    <t>Doran, Elizabeth M. B.;Richman, Laura S.;Southwell, Brian G.</t>
  </si>
  <si>
    <t>TJ163.5.D86I56 2016</t>
  </si>
  <si>
    <t>https://ebookcentral.proquest.com/lib/iuavit/detail.action?docID=6824319</t>
  </si>
  <si>
    <t>The Essential Role of Language in Survey Research</t>
  </si>
  <si>
    <t>Sha, Mandy;Gabel, Tim</t>
  </si>
  <si>
    <t>https://ebookcentral.proquest.com/lib/iuavit/detail.action?docID=6824320</t>
  </si>
  <si>
    <t>Patient-Reported Outcomes in Performance Measurement</t>
  </si>
  <si>
    <t>Cella, David F.;Butt, Zeeshan;Hahn, Elizabeth A.;Jensen, Sally E.;Nowinski, Cindy J.</t>
  </si>
  <si>
    <t>R853.O87C45 2015</t>
  </si>
  <si>
    <t>https://ebookcentral.proquest.com/lib/iuavit/detail.action?docID=6824321</t>
  </si>
  <si>
    <t>Shale Oil and Gas : The Promise and the Peril, Revised and Updated Second Edition</t>
  </si>
  <si>
    <t>Rao, Vikram</t>
  </si>
  <si>
    <t>TP705.R36 2015</t>
  </si>
  <si>
    <t>https://ebookcentral.proquest.com/lib/iuavit/detail.action?docID=6824322</t>
  </si>
  <si>
    <t>Reproducibility : A Primer on Semantics and Implications for Research</t>
  </si>
  <si>
    <t>Pellizzari, Edo D.;Lohr, Kathleen N.;Blatecky, Alan R.;Creel, Darryl R.</t>
  </si>
  <si>
    <t>Q180.55.S7P45 2017</t>
  </si>
  <si>
    <t>507.2/1</t>
  </si>
  <si>
    <t>https://ebookcentral.proquest.com/lib/iuavit/detail.action?docID=6824323</t>
  </si>
  <si>
    <t>Young Adults in the Workplace : A Multisite Initiative of Substance Use Prevention Programs</t>
  </si>
  <si>
    <t>Bray, Jeremy W.;Galvin, Deborah M.;Cluff, Laurie A.</t>
  </si>
  <si>
    <t>https://ebookcentral.proquest.com/lib/iuavit/detail.action?docID=6824324</t>
  </si>
  <si>
    <t>Cultivating Dynamic Educators : Case Studies in Teacher Behavior Change in Africa and Asia</t>
  </si>
  <si>
    <t>Pouezevara, Sarah</t>
  </si>
  <si>
    <t>LA1501.C85 2018</t>
  </si>
  <si>
    <t>https://ebookcentral.proquest.com/lib/iuavit/detail.action?docID=6824325</t>
  </si>
  <si>
    <t>Shale Gas : The Promise and the Peril</t>
  </si>
  <si>
    <t>HD9581.2.S53R36 2012</t>
  </si>
  <si>
    <t>https://ebookcentral.proquest.com/lib/iuavit/detail.action?docID=6824326</t>
  </si>
  <si>
    <t>The Nation's Health Care Bill : Who Bears the Burden? a Chartbook</t>
  </si>
  <si>
    <t>Cromwell, Jerry;Healy, Deborah;Seeley, Elizabeth;Trebino, Diana;Cromwell, Genevieve</t>
  </si>
  <si>
    <t>RA395.A3C856 2013</t>
  </si>
  <si>
    <t>https://ebookcentral.proquest.com/lib/iuavit/detail.action?docID=6824327</t>
  </si>
  <si>
    <t>Measuring Nonuse Damages Using Contingent Valuation : An Experimental Evaluation of Accuracy</t>
  </si>
  <si>
    <t>Desvousges, William H.;Johnson, F. Reed;Dunford, Richard W.;Boyle, Kevin J.;Hudson, Sara P.;Wilson, K. Nicole</t>
  </si>
  <si>
    <t>https://ebookcentral.proquest.com/lib/iuavit/detail.action?docID=6824328</t>
  </si>
  <si>
    <t>The Early Grade Reading Assessment : Applications and Interventions to Improve Basic Literacy</t>
  </si>
  <si>
    <t>Gove, Amber;Wetterberg, Anna</t>
  </si>
  <si>
    <t>LB1050.46.E27 2011</t>
  </si>
  <si>
    <t>https://ebookcentral.proquest.com/lib/iuavit/detail.action?docID=6824329</t>
  </si>
  <si>
    <t>Pay for Performance in Health Care : Methods and Approaches</t>
  </si>
  <si>
    <t>Cromwell, Jerry;Kautter, John;Smith, Kevin;Greenwald, Leslie M.;Mitchell, Janet B.;Pope, Gregory C.;Trisolini, Michael G.</t>
  </si>
  <si>
    <t>RA410.53.P37 2011</t>
  </si>
  <si>
    <t>https://ebookcentral.proquest.com/lib/iuavit/detail.action?docID=6824330</t>
  </si>
  <si>
    <t>Dissecting American Health Care : Commentaries on Health, Policy, and Politics</t>
  </si>
  <si>
    <t>Kamerow, Douglas B.</t>
  </si>
  <si>
    <t>RA395.A3K345 2011</t>
  </si>
  <si>
    <t>https://ebookcentral.proquest.com/lib/iuavit/detail.action?docID=6824332</t>
  </si>
  <si>
    <t>Aerosol Science and Technology : History and Reviews</t>
  </si>
  <si>
    <t>Ensor, David</t>
  </si>
  <si>
    <t>Science: Chemistry</t>
  </si>
  <si>
    <t>https://ebookcentral.proquest.com/lib/iuavit/detail.action?docID=6824333</t>
  </si>
  <si>
    <t>National Assessment Approach to Sampling Error Estimation</t>
  </si>
  <si>
    <t>Folsom, Ralph E.</t>
  </si>
  <si>
    <t>MLCM 2021/42192</t>
  </si>
  <si>
    <t>https://ebookcentral.proquest.com/lib/iuavit/detail.action?docID=6824334</t>
  </si>
  <si>
    <t>Methods in Statistical Genomics : In the Context of Genome-Wide Association Studies</t>
  </si>
  <si>
    <t>Cooley, Philip Chester</t>
  </si>
  <si>
    <t>QH447.M49 2016</t>
  </si>
  <si>
    <t>https://ebookcentral.proquest.com/lib/iuavit/detail.action?docID=6824335</t>
  </si>
  <si>
    <t>Noncognitive Skills in the Classroom : New Perspectives on Educational Research</t>
  </si>
  <si>
    <t>Rosen, Jeffrey A.;RTI International Staff;Bozick, Robert;Dalton, Ben W.;Glennie, Elizabeth;Lennon, Jean M.</t>
  </si>
  <si>
    <t>LB1028.R566 2010</t>
  </si>
  <si>
    <t>https://ebookcentral.proquest.com/lib/iuavit/detail.action?docID=6824336</t>
  </si>
  <si>
    <t>Leveraging Data for Student Success : Improving Education Through Data-Driven Decisions</t>
  </si>
  <si>
    <t>Knapp, Laura G.;Glennie, Elizabeth;Charles, Karen J.</t>
  </si>
  <si>
    <t>LB1062.6.K59 2016</t>
  </si>
  <si>
    <t>https://ebookcentral.proquest.com/lib/iuavit/detail.action?docID=6824337</t>
  </si>
  <si>
    <t>Uncertainty in Engineering : Introduction to Methods and Applications</t>
  </si>
  <si>
    <t>Aslett, Louis J. M.;Coolen, Frank P. A.;De Bock, Jasper</t>
  </si>
  <si>
    <t>https://ebookcentral.proquest.com/lib/iuavit/detail.action?docID=6824949</t>
  </si>
  <si>
    <t>Sprachbildung in der Lehramtsausbildung Mathematik : Konzepte Für eine Sprachbewusste Hochschullehre</t>
  </si>
  <si>
    <t>Schacht, Florian;Guckelsberger, Susanne</t>
  </si>
  <si>
    <t>https://ebookcentral.proquest.com/lib/iuavit/detail.action?docID=6824950</t>
  </si>
  <si>
    <t>Makers at School, Educational Robotics and Innovative Learning Environments : Research and Experiences from FabLearn Italy 2019, in the Italian Schools and Beyond</t>
  </si>
  <si>
    <t>Scaradozzi, David;Guasti, Lorenzo;Di Stasio, Margherita;Miotti, Beatrice;Monteriù, Andrea;Blikstein, Paulo</t>
  </si>
  <si>
    <t>https://ebookcentral.proquest.com/lib/iuavit/detail.action?docID=6825110</t>
  </si>
  <si>
    <t>Zero Distance : Management in the Quantum Age</t>
  </si>
  <si>
    <t>Zohar, Danah</t>
  </si>
  <si>
    <t>https://ebookcentral.proquest.com/lib/iuavit/detail.action?docID=6825144</t>
  </si>
  <si>
    <t>Biometric Identification, Law and Ethics</t>
  </si>
  <si>
    <t>Smith, Marcus;Miller, Seumas</t>
  </si>
  <si>
    <t>https://ebookcentral.proquest.com/lib/iuavit/detail.action?docID=6825145</t>
  </si>
  <si>
    <t>Ye Shall Know Them by Their Fruits : A Mixed Methods Study on Corruption, Competitiveness, and Christianity in Europe and the Americas</t>
  </si>
  <si>
    <t>García Portilla, Jason</t>
  </si>
  <si>
    <t>https://ebookcentral.proquest.com/lib/iuavit/detail.action?docID=6825384</t>
  </si>
  <si>
    <t>Words in Space and Time : A Historical Atlas of Language Politics in Modern Central Europe</t>
  </si>
  <si>
    <t>Kamusella, Tomasz</t>
  </si>
  <si>
    <t>Language/Linguistics; History; Social Science</t>
  </si>
  <si>
    <t>https://ebookcentral.proquest.com/lib/iuavit/detail.action?docID=6825627</t>
  </si>
  <si>
    <t>Constructing Identities over Time : Bad Gypsies and Good Roma in Russia and Hungary</t>
  </si>
  <si>
    <t>Dunajeva, Jekatyerina</t>
  </si>
  <si>
    <t>https://ebookcentral.proquest.com/lib/iuavit/detail.action?docID=6825628</t>
  </si>
  <si>
    <t>Die Rolle Von Unternehmen Im IFRS-Standardsetzungsprozess : Analyse Anhand Ausgewählter Regelungen Zur Umsatzerfassung Aus Mehrkomponentengeschäften Nach IFRS 15</t>
  </si>
  <si>
    <t>Jendreck, Annekatrin</t>
  </si>
  <si>
    <t>https://ebookcentral.proquest.com/lib/iuavit/detail.action?docID=6825723</t>
  </si>
  <si>
    <t>Epidicus by Plautus : An Annotated Latin Text, with a Prose Translation</t>
  </si>
  <si>
    <t>Tracy, Catherine</t>
  </si>
  <si>
    <t>https://ebookcentral.proquest.com/lib/iuavit/detail.action?docID=6825846</t>
  </si>
  <si>
    <t>Coping : A Philosophical Guide</t>
  </si>
  <si>
    <t>Bovens, Luc</t>
  </si>
  <si>
    <t>BF335</t>
  </si>
  <si>
    <t>https://ebookcentral.proquest.com/lib/iuavit/detail.action?docID=6825847</t>
  </si>
  <si>
    <t>Mary Warnock : Ethics, Education and Public Policy in Post-War Britain</t>
  </si>
  <si>
    <t>Graham, Philip</t>
  </si>
  <si>
    <t>https://ebookcentral.proquest.com/lib/iuavit/detail.action?docID=6825848</t>
  </si>
  <si>
    <t>The Great Reset : 2021 European Public Investment Outlook</t>
  </si>
  <si>
    <t>Cerniglia, Floriana;Saraceno, Francesco;Watt, Andrew</t>
  </si>
  <si>
    <t>https://ebookcentral.proquest.com/lib/iuavit/detail.action?docID=6825849</t>
  </si>
  <si>
    <t>Auld Lang Syne : A Song and Its Culture</t>
  </si>
  <si>
    <t>Grant, Morag Josephine</t>
  </si>
  <si>
    <t>PR4338</t>
  </si>
  <si>
    <t>https://ebookcentral.proquest.com/lib/iuavit/detail.action?docID=6825850</t>
  </si>
  <si>
    <t>Culture and Science</t>
  </si>
  <si>
    <t>Sommermann, Karl-Peter;Huster, Stefan;Schulte, Martin;Ruffert, Matthias;et al., et</t>
  </si>
  <si>
    <t>https://ebookcentral.proquest.com/lib/iuavit/detail.action?docID=6825855</t>
  </si>
  <si>
    <t>Formalization of Banking Supervision : 19th-20th Centuries</t>
  </si>
  <si>
    <t>Hotori, Eiji;Wendschlag, Mikael;Giddey, Thibaud</t>
  </si>
  <si>
    <t>https://ebookcentral.proquest.com/lib/iuavit/detail.action?docID=6826328</t>
  </si>
  <si>
    <t>Themenkarrieren in der Wissenschaft : Die Entstehung der Themen Stadtschrumpfung und Klimawandel in der Raumforschung</t>
  </si>
  <si>
    <t>Gravert, Andreas</t>
  </si>
  <si>
    <t>https://ebookcentral.proquest.com/lib/iuavit/detail.action?docID=6827104</t>
  </si>
  <si>
    <t>Erwerbsarbeit Von Müttern und Frühkindliche Fremdbetreuung : Eine Integrative Betrachtung Von Wohlfahrtseffekten</t>
  </si>
  <si>
    <t>Schrader, Sonja Maria</t>
  </si>
  <si>
    <t>https://ebookcentral.proquest.com/lib/iuavit/detail.action?docID=6827113</t>
  </si>
  <si>
    <t>Outcomes of Open Adoption from Care : An Australian Contribution to an International Debate</t>
  </si>
  <si>
    <t>Ward, Harriet;Moggach, Lynne;Tregeagle, Susan;Trivedi, Helen</t>
  </si>
  <si>
    <t>https://ebookcentral.proquest.com/lib/iuavit/detail.action?docID=6827120</t>
  </si>
  <si>
    <t>A Guide to Sustainable Corporate Responsibility : From Theory to Action</t>
  </si>
  <si>
    <t>Ditlev-Simonsen, Caroline D.</t>
  </si>
  <si>
    <t>https://ebookcentral.proquest.com/lib/iuavit/detail.action?docID=6827141</t>
  </si>
  <si>
    <t>Counter-Terrorism, Ethics and Technology : Emerging Challenges at the Frontiers of Counter-Terrorism</t>
  </si>
  <si>
    <t>Henschke, Adam;Reed, Alastair;Robbins, Scott;Miller, Seumas</t>
  </si>
  <si>
    <t>JC328.6-.65</t>
  </si>
  <si>
    <t>https://ebookcentral.proquest.com/lib/iuavit/detail.action?docID=6827145</t>
  </si>
  <si>
    <t>Prosthetic Body Parts in Nineteenth-Century Literature and Culture</t>
  </si>
  <si>
    <t>Sweet, Ryan</t>
  </si>
  <si>
    <t>https://ebookcentral.proquest.com/lib/iuavit/detail.action?docID=6827683</t>
  </si>
  <si>
    <t>The Belt and Road Initiative Green Development Case Studies Report 2020</t>
  </si>
  <si>
    <t>BRI International Green Development</t>
  </si>
  <si>
    <t>https://ebookcentral.proquest.com/lib/iuavit/detail.action?docID=6827686</t>
  </si>
  <si>
    <t>Sociology of Interdisciplinarity : The Dynamics of Energy Research</t>
  </si>
  <si>
    <t>Silvast, Antti;Foulds, Chris</t>
  </si>
  <si>
    <t>Economics; Environmental Studies; Science</t>
  </si>
  <si>
    <t>https://ebookcentral.proquest.com/lib/iuavit/detail.action?docID=6827693</t>
  </si>
  <si>
    <t>Migration and Pandemics : Spaces of Solidarity and Spaces of Exception</t>
  </si>
  <si>
    <t>Triandafyllidou, Anna</t>
  </si>
  <si>
    <t>https://ebookcentral.proquest.com/lib/iuavit/detail.action?docID=6827695</t>
  </si>
  <si>
    <t>Towards an Emissions Trading System in Mexico: Rationale, Design and Connections with the Global Climate Agenda : Outlook on the First ETS in Latin-America and Exploration of the Way Forward</t>
  </si>
  <si>
    <t>Lucatello, Simone</t>
  </si>
  <si>
    <t>https://ebookcentral.proquest.com/lib/iuavit/detail.action?docID=6827696</t>
  </si>
  <si>
    <t>Cold War Civil Defence in Western Europe : Sociotechnical Imaginaries of Survival and Preparedness</t>
  </si>
  <si>
    <t>Cronqvist, Marie;Farbøl, Rosanna;Sylvest, Casper</t>
  </si>
  <si>
    <t>D203.2-475</t>
  </si>
  <si>
    <t>https://ebookcentral.proquest.com/lib/iuavit/detail.action?docID=6827699</t>
  </si>
  <si>
    <t>Co-Creativity and Engaged Scholarship : Transformative Methods in Social Sustainability Research</t>
  </si>
  <si>
    <t>Franklin, Alex</t>
  </si>
  <si>
    <t>https://ebookcentral.proquest.com/lib/iuavit/detail.action?docID=6827705</t>
  </si>
  <si>
    <t>Digitalisierung Souverän Gestalten II : Handlungsspielräume in Digitalen Wertschöpfungsnetzwerken</t>
  </si>
  <si>
    <t>https://ebookcentral.proquest.com/lib/iuavit/detail.action?docID=6827706</t>
  </si>
  <si>
    <t>Happiness--Concept, Measurement and Promotion</t>
  </si>
  <si>
    <t>Ng, Yew-Kwang</t>
  </si>
  <si>
    <t>https://ebookcentral.proquest.com/lib/iuavit/detail.action?docID=6827718</t>
  </si>
  <si>
    <t>Dynamics in Logistics : Twenty-Five Years of Interdisciplinary Logistics Research in Bremen, Germany</t>
  </si>
  <si>
    <t>Freitag, Michael;Kotzab, Herbert;Megow, Nicole</t>
  </si>
  <si>
    <t>HD38.5</t>
  </si>
  <si>
    <t>https://ebookcentral.proquest.com/lib/iuavit/detail.action?docID=6827720</t>
  </si>
  <si>
    <t>No Truth Without Beauty : God, the Qur'an, and Women's Rights</t>
  </si>
  <si>
    <t>El-Ali, Leena;El Fadl, Khaled Abou</t>
  </si>
  <si>
    <t>BP166-166.94</t>
  </si>
  <si>
    <t>https://ebookcentral.proquest.com/lib/iuavit/detail.action?docID=6827725</t>
  </si>
  <si>
    <t>The Psychosocial Reality of Digital Travel : Being in Virtual Places</t>
  </si>
  <si>
    <t>Tjostheim, Ingvar;Waterworth, John A.</t>
  </si>
  <si>
    <t>https://ebookcentral.proquest.com/lib/iuavit/detail.action?docID=6827730</t>
  </si>
  <si>
    <t>Space, Place and Educational Settings</t>
  </si>
  <si>
    <t>Freytag, Tim;Lauen, Douglas L.;Robertson, Susan L.</t>
  </si>
  <si>
    <t>https://ebookcentral.proquest.com/lib/iuavit/detail.action?docID=6827731</t>
  </si>
  <si>
    <t>Life Cycle Assessment of Agri-Food Systems : An Operational Guide Dedicated to Developing and Emerging Economies</t>
  </si>
  <si>
    <t>Basset-Mens, Claudine;Avadí, Angel;Bessou, Cécile;Acosta-Alba, Ivonne;Biard, Yannick;Payen, Sandra</t>
  </si>
  <si>
    <t>https://ebookcentral.proquest.com/lib/iuavit/detail.action?docID=6828233</t>
  </si>
  <si>
    <t>Feminist and LGBTI+ Activism Across Russia, Scandinavia and Turkey : Transnationalizing Spaces of Resistance</t>
  </si>
  <si>
    <t>Çağatay, Selin;Liinason, Mia;Sasunkevich, Olga</t>
  </si>
  <si>
    <t>HQ75-76.965</t>
  </si>
  <si>
    <t>https://ebookcentral.proquest.com/lib/iuavit/detail.action?docID=6828248</t>
  </si>
  <si>
    <t>Opportunities and Challenges for New and Peripheral Political Science Communities : A Consolidated Discipline?</t>
  </si>
  <si>
    <t>Ilonszki, Gabriella;Roux, Christophe</t>
  </si>
  <si>
    <t>https://ebookcentral.proquest.com/lib/iuavit/detail.action?docID=6828249</t>
  </si>
  <si>
    <t>Staged Otherness : Ethnic Shows in Central and Eastern Europe, 1850-1939</t>
  </si>
  <si>
    <t>Demski, Dagnosław;Czarnecka, Dominika</t>
  </si>
  <si>
    <t>https://ebookcentral.proquest.com/lib/iuavit/detail.action?docID=6837544</t>
  </si>
  <si>
    <t>Wie Sprache Dem Verstehen Hilft : Ergebnisse Einer Interventionsstudie Zu Sprachsensiblem Geographieunterricht</t>
  </si>
  <si>
    <t>Wey, Santina</t>
  </si>
  <si>
    <t>https://ebookcentral.proquest.com/lib/iuavit/detail.action?docID=6838564</t>
  </si>
  <si>
    <t>Social Innovation in Higher Education : Landscape, Practices, and Opportunities</t>
  </si>
  <si>
    <t>Păunescu, Carmen;Lepik, Katri-Liis;Spencer, Nicholas</t>
  </si>
  <si>
    <t>HC79.T4</t>
  </si>
  <si>
    <t>https://ebookcentral.proquest.com/lib/iuavit/detail.action?docID=6838608</t>
  </si>
  <si>
    <t>Mittelmark, Maurice B.;Bauer, Georg F.;Vaandrager, Lenneke;Pelikan, Jürgen M.;Sagy, Shifra;Eriksson, Monica;Lindström, Bengt;Meier Magistretti, Claudia</t>
  </si>
  <si>
    <t>https://ebookcentral.proquest.com/lib/iuavit/detail.action?docID=6838610</t>
  </si>
  <si>
    <t>Sexualisierte Gewalt und Digitale Medien : Reflexive Handlungsempfehlungen Für Die Fachpraxis</t>
  </si>
  <si>
    <t>Vobbe, Frederic;Kärgel, Katharina</t>
  </si>
  <si>
    <t>https://ebookcentral.proquest.com/lib/iuavit/detail.action?docID=6838640</t>
  </si>
  <si>
    <t>A Climate of Justice: an Ethical Foundation for Environmentalism</t>
  </si>
  <si>
    <t>Brown, Marvin T.</t>
  </si>
  <si>
    <t>https://ebookcentral.proquest.com/lib/iuavit/detail.action?docID=6838680</t>
  </si>
  <si>
    <t>Piroddi, Luigi</t>
  </si>
  <si>
    <t>TK1-9971</t>
  </si>
  <si>
    <t>https://ebookcentral.proquest.com/lib/iuavit/detail.action?docID=6838723</t>
  </si>
  <si>
    <t>Management by Missions : Connecting People to Strategy Through Purpose</t>
  </si>
  <si>
    <t>Cardona, Pablo;Rey, Carlos</t>
  </si>
  <si>
    <t>https://ebookcentral.proquest.com/lib/iuavit/detail.action?docID=6838776</t>
  </si>
  <si>
    <t>Die Explorative Tympanoskopie Mit Obliteration des Runden/ovalen Fensters in der Behandlung des Hörsturzes : State of the Art</t>
  </si>
  <si>
    <t>Eichhorn, Thomas;Beslekoeva, Mariia</t>
  </si>
  <si>
    <t>RF1-547</t>
  </si>
  <si>
    <t>https://ebookcentral.proquest.com/lib/iuavit/detail.action?docID=6838799</t>
  </si>
  <si>
    <t>The Asian 21st Century</t>
  </si>
  <si>
    <t>Mahbubani, Kishore</t>
  </si>
  <si>
    <t>https://ebookcentral.proquest.com/lib/iuavit/detail.action?docID=6838834</t>
  </si>
  <si>
    <t>Seamless Learning : Grenz- und Kontextübergreifendes Lehren und Lernen in der Bodenseeregion</t>
  </si>
  <si>
    <t>Dilger, Bernadette;Erlemann, Jennifer;Müller, Claude;Rapp, Christian</t>
  </si>
  <si>
    <t>LB1028-1028.25</t>
  </si>
  <si>
    <t>https://ebookcentral.proquest.com/lib/iuavit/detail.action?docID=6838904</t>
  </si>
  <si>
    <t>Academic Flying and the Means of Communication</t>
  </si>
  <si>
    <t>Bjørkdahl, Kristian;Franco Duharte, Adrian Santiago</t>
  </si>
  <si>
    <t>https://ebookcentral.proquest.com/lib/iuavit/detail.action?docID=6838905</t>
  </si>
  <si>
    <t>Agricultural Value Chains in India : Ensuring Competitiveness, Inclusiveness, Sustainability, Scalability, and Improved Finance</t>
  </si>
  <si>
    <t>Gulati, Ashok;Ganguly, Kavery;Wardhan, Harsh</t>
  </si>
  <si>
    <t>https://ebookcentral.proquest.com/lib/iuavit/detail.action?docID=6838935</t>
  </si>
  <si>
    <t>Annals of Scientific Society for Assembly, Handling and Industrial Robotics 2021</t>
  </si>
  <si>
    <t>Schüppstuhl, Thorsten;Tracht, Kirsten;Raatz, Annika</t>
  </si>
  <si>
    <t>TJ210.2-211.495</t>
  </si>
  <si>
    <t>https://ebookcentral.proquest.com/lib/iuavit/detail.action?docID=6838944</t>
  </si>
  <si>
    <t>Green Consensus and High Quality Development : CCICED Annual Policy Report 2020</t>
  </si>
  <si>
    <t>CCICED</t>
  </si>
  <si>
    <t>https://ebookcentral.proquest.com/lib/iuavit/detail.action?docID=6838959</t>
  </si>
  <si>
    <t>Monitoring State Compliance with the un Convention on the Rights of the Child : An Analysis of Attributes</t>
  </si>
  <si>
    <t>Vaghri, Ziba;Zermatten, Jean;Lansdown, Gerison;Ruggiero, Roberta</t>
  </si>
  <si>
    <t>https://ebookcentral.proquest.com/lib/iuavit/detail.action?docID=6840130</t>
  </si>
  <si>
    <t>Peer Review in an Era of Evaluation : Understanding the Practice of Gatekeeping in Academia</t>
  </si>
  <si>
    <t>Forsberg, Eva;Geschwind, Lars;Levander, Sara;Wermke, Wieland</t>
  </si>
  <si>
    <t>https://ebookcentral.proquest.com/lib/iuavit/detail.action?docID=6840137</t>
  </si>
  <si>
    <t>The Autofictional : Approaches, Affordances, Forms</t>
  </si>
  <si>
    <t>Effe, Alexandra;Lawlor, Hannie</t>
  </si>
  <si>
    <t>https://ebookcentral.proquest.com/lib/iuavit/detail.action?docID=6840154</t>
  </si>
  <si>
    <t>Data-Driven Fault Detection and Reasoning for Industrial Monitoring</t>
  </si>
  <si>
    <t>Wang, Jing;Zhou, Jinglin;Chen, Xiaolu</t>
  </si>
  <si>
    <t>T59.5</t>
  </si>
  <si>
    <t>https://ebookcentral.proquest.com/lib/iuavit/detail.action?docID=6840160</t>
  </si>
  <si>
    <t>Climate of the Middle : Understanding Climate Change As a Common Challenge</t>
  </si>
  <si>
    <t>Siegmann, Arjen</t>
  </si>
  <si>
    <t>https://ebookcentral.proquest.com/lib/iuavit/detail.action?docID=6841090</t>
  </si>
  <si>
    <t>Information and Communication Technologies in Tourism 2022 : Proceedings of the ENTER 2022 ETourism Conference, January 11-14 2022</t>
  </si>
  <si>
    <t>Stienmetz, Jason L.;Ferrer-Rosell, Berta;Massimo, David</t>
  </si>
  <si>
    <t>https://ebookcentral.proquest.com/lib/iuavit/detail.action?docID=6845970</t>
  </si>
  <si>
    <t>Collapsing Structures and Public Mismanagement</t>
  </si>
  <si>
    <t>Seibel, Wolfgang</t>
  </si>
  <si>
    <t>https://ebookcentral.proquest.com/lib/iuavit/detail.action?docID=6845974</t>
  </si>
  <si>
    <t>Religion and Governance in England's Emerging Colonial Empire, 1601-1698</t>
  </si>
  <si>
    <t>Smith, Haig Z.</t>
  </si>
  <si>
    <t>https://ebookcentral.proquest.com/lib/iuavit/detail.action?docID=6845980</t>
  </si>
  <si>
    <t>Memory Crash : Politics of History in and Around Ukraine, 1980s-2010s</t>
  </si>
  <si>
    <t>Kasianov, Georgiy</t>
  </si>
  <si>
    <t>https://ebookcentral.proquest.com/lib/iuavit/detail.action?docID=6846445</t>
  </si>
  <si>
    <t>In Contempt : Defending Free Speech, Defeating HUAC</t>
  </si>
  <si>
    <t>Yellin, Ed;Yellin, Jean Fagan</t>
  </si>
  <si>
    <t>https://ebookcentral.proquest.com/lib/iuavit/detail.action?docID=6846891</t>
  </si>
  <si>
    <t>Das Co-Creation Toolbook : Methoden Für eine Erfolgreiche Kooperation Zwischen Hochschule und Gesellschaft</t>
  </si>
  <si>
    <t>Kurzhals, Kerstin;Uude, Katrin;Sormani, Eva;Chak, Choiwai Maggie;Banze, Madleen</t>
  </si>
  <si>
    <t>HD69.P75</t>
  </si>
  <si>
    <t>https://ebookcentral.proquest.com/lib/iuavit/detail.action?docID=6850455</t>
  </si>
  <si>
    <t>A Multidisciplinary Approach to Capability in Age and Ageing</t>
  </si>
  <si>
    <t>Falk Erhag, Hanna;Lagerlöf Nilsson, Ulrika;Rydberg Sterner, Therese;Skoog, Ingmar</t>
  </si>
  <si>
    <t>https://ebookcentral.proquest.com/lib/iuavit/detail.action?docID=6850469</t>
  </si>
  <si>
    <t>Horos : Ancient Boundaries and the Ecology of Stone</t>
  </si>
  <si>
    <t>Potter, Thea</t>
  </si>
  <si>
    <t>Literature; Philosophy; Education</t>
  </si>
  <si>
    <t>https://ebookcentral.proquest.com/lib/iuavit/detail.action?docID=6850554</t>
  </si>
  <si>
    <t>Points of Contact : The Shared Intellectual History of Vocalisation in Syriac, Arabic, and Hebrew</t>
  </si>
  <si>
    <t>Posegay, Nick</t>
  </si>
  <si>
    <t>https://ebookcentral.proquest.com/lib/iuavit/detail.action?docID=6850555</t>
  </si>
  <si>
    <t>Making the Void Fruitful : Yeats As Spiritual Seeker and Petrarchan Lover</t>
  </si>
  <si>
    <t>Keane, Patrick J.</t>
  </si>
  <si>
    <t>https://ebookcentral.proquest.com/lib/iuavit/detail.action?docID=6850556</t>
  </si>
  <si>
    <t>Anthropologies of Global Maternal and Reproductive Health : From Policy Spaces to Sites of Practice</t>
  </si>
  <si>
    <t>Wallace, Lauren J.;MacDonald, Margaret E.;Storeng, Katerini T.</t>
  </si>
  <si>
    <t>GN296-296.5</t>
  </si>
  <si>
    <t>https://ebookcentral.proquest.com/lib/iuavit/detail.action?docID=6852152</t>
  </si>
  <si>
    <t>Pedagogical Realities of Implementing Task-Based Language Teaching</t>
  </si>
  <si>
    <t>Erlam, Rosemary;Tolosa, Constanza</t>
  </si>
  <si>
    <t>https://ebookcentral.proquest.com/lib/iuavit/detail.action?docID=6852900</t>
  </si>
  <si>
    <t>Transformational Change for People and the Planet : Evaluating Environment and Development</t>
  </si>
  <si>
    <t>Uitto, Juha I.;Batra, Geeta</t>
  </si>
  <si>
    <t>https://ebookcentral.proquest.com/lib/iuavit/detail.action?docID=6854483</t>
  </si>
  <si>
    <t>Der Glaube an Big Data : Eine Analyse Gesellschaftlicher Überzeugungen Von Erkenntnis- und Nutzengewinnen Aus Digitalen Daten</t>
  </si>
  <si>
    <t>Lünich, Marco</t>
  </si>
  <si>
    <t>HM846-851</t>
  </si>
  <si>
    <t>https://ebookcentral.proquest.com/lib/iuavit/detail.action?docID=6854734</t>
  </si>
  <si>
    <t>Narrative Praktiken Von Unternehmen : Imagefördernde Selbstdarstellungen Im Internet</t>
  </si>
  <si>
    <t>Ackermann, Ulrike</t>
  </si>
  <si>
    <t>https://ebookcentral.proquest.com/lib/iuavit/detail.action?docID=6854864</t>
  </si>
  <si>
    <t>Multivariate Statistical Machine Learning Methods for Genomic Prediction</t>
  </si>
  <si>
    <t>Montesinos López, Osval Antonio;Montesinos López, Abelardo;Crossa, José</t>
  </si>
  <si>
    <t>https://ebookcentral.proquest.com/lib/iuavit/detail.action?docID=6855260</t>
  </si>
  <si>
    <t>Genresignaturen : Diskurshistorische Perspektiven Auf das Psycho-Universum Von 1960 Bis 2017</t>
  </si>
  <si>
    <t>Kirsten, Karina</t>
  </si>
  <si>
    <t>https://ebookcentral.proquest.com/lib/iuavit/detail.action?docID=6855292</t>
  </si>
  <si>
    <t>Japan's Peacekeeping at a Crossroads : Taking a Robust Stance or Remaining Hesitant?</t>
  </si>
  <si>
    <t>Fujishige, Hiromi Nagata;Uesugi, Yuji;Honda, Tomoaki</t>
  </si>
  <si>
    <t>https://ebookcentral.proquest.com/lib/iuavit/detail.action?docID=6855517</t>
  </si>
  <si>
    <t>Everyday Life under Communism and After : Lifestyle and Consumption in Hungary, 1945-2000</t>
  </si>
  <si>
    <t>Valuch, Tibor</t>
  </si>
  <si>
    <t>https://ebookcentral.proquest.com/lib/iuavit/detail.action?docID=6859756</t>
  </si>
  <si>
    <t>Risk Criticism : Precautionary Reading in an Age of Environmental Uncertainty</t>
  </si>
  <si>
    <t>Wallace, Molly</t>
  </si>
  <si>
    <t>PN98</t>
  </si>
  <si>
    <t>809/.93355</t>
  </si>
  <si>
    <t>https://ebookcentral.proquest.com/lib/iuavit/detail.action?docID=6869058</t>
  </si>
  <si>
    <t>Digital Samaritans : Rhetorical Delivery and Engagement in the Digital Humanities</t>
  </si>
  <si>
    <t>Ridolfo, Jim</t>
  </si>
  <si>
    <t>BM910</t>
  </si>
  <si>
    <t>296.8/17072</t>
  </si>
  <si>
    <t>https://ebookcentral.proquest.com/lib/iuavit/detail.action?docID=6869059</t>
  </si>
  <si>
    <t>Ethical Programs : Hospitality and the Rhetorics of Software</t>
  </si>
  <si>
    <t>Brown, James J.</t>
  </si>
  <si>
    <t>TK5105</t>
  </si>
  <si>
    <t>https://ebookcentral.proquest.com/lib/iuavit/detail.action?docID=6869062</t>
  </si>
  <si>
    <t>Architecture and Development : Israeli Construction in Sub-Saharan Africa and the Settler Colonial Imagination, 1958-1973</t>
  </si>
  <si>
    <t>Levin, Ayala</t>
  </si>
  <si>
    <t>NA1591</t>
  </si>
  <si>
    <t>https://ebookcentral.proquest.com/lib/iuavit/detail.action?docID=6870834</t>
  </si>
  <si>
    <t>China in the World : Culture, Politics, and World Vision</t>
  </si>
  <si>
    <t>Wang, Ban</t>
  </si>
  <si>
    <t>https://ebookcentral.proquest.com/lib/iuavit/detail.action?docID=6870835</t>
  </si>
  <si>
    <t>Scales of Captivity : Racial Capitalism and the Latinx Child</t>
  </si>
  <si>
    <t>Brady, Mary Pat</t>
  </si>
  <si>
    <t>https://ebookcentral.proquest.com/lib/iuavit/detail.action?docID=6870836</t>
  </si>
  <si>
    <t>The Russian Revolutions Of 1917 : The Northern Impact and Beyond</t>
  </si>
  <si>
    <t>Myklebost, Kari Aga;Nielsen, Jens Petter;Rogatchevski, Andrei</t>
  </si>
  <si>
    <t>https://ebookcentral.proquest.com/lib/iuavit/detail.action?docID=6871063</t>
  </si>
  <si>
    <t>Film As Embodied Art : Bodily Meaning in the Cinema of Stanley Kubrick</t>
  </si>
  <si>
    <t>Coëgnarts, Maarten</t>
  </si>
  <si>
    <t>https://ebookcentral.proquest.com/lib/iuavit/detail.action?docID=6871064</t>
  </si>
  <si>
    <t>Forms of List-Making: Epistemic, Literary, and Visual Enumeration</t>
  </si>
  <si>
    <t>Barton, Roman Alexander;Böckling, Julia;Link, Sarah;Rüggemeier, Anne</t>
  </si>
  <si>
    <t>Philosophy; Literature</t>
  </si>
  <si>
    <t>https://ebookcentral.proquest.com/lib/iuavit/detail.action?docID=6871212</t>
  </si>
  <si>
    <t>Before They Were Titans : Essays on the Early Works of Dostoevsky and Tolstoy</t>
  </si>
  <si>
    <t>Allen, Elizabeth Cheresh;Emerson, Caryl</t>
  </si>
  <si>
    <t>https://ebookcentral.proquest.com/lib/iuavit/detail.action?docID=6871862</t>
  </si>
  <si>
    <t>Relational Anthropology for Contemporary Economics : A Multidisciplinary Approach</t>
  </si>
  <si>
    <t>van Nes, Jermo;Nullens, Patrick;van den Heuvel, Steven C.</t>
  </si>
  <si>
    <t>BD418-418.84</t>
  </si>
  <si>
    <t>https://ebookcentral.proquest.com/lib/iuavit/detail.action?docID=6874774</t>
  </si>
  <si>
    <t>Cyber Security : 18th China Annual Conference, CNCERT 2021, Beijing, China, July 20-21, 2021, Revised Selected Papers</t>
  </si>
  <si>
    <t>Lu, Wei;Zhang, Yuqing;Wen, Weiping;Yan, Hanbing;Li, Chao</t>
  </si>
  <si>
    <t>https://ebookcentral.proquest.com/lib/iuavit/detail.action?docID=6874796</t>
  </si>
  <si>
    <t>Central Bank Policy Mix: Issues, Challenges, and Policy Responses : Handbook of Central Banking Studies</t>
  </si>
  <si>
    <t>Warjiyo, Perry;Juhro, Solikin M.</t>
  </si>
  <si>
    <t>https://ebookcentral.proquest.com/lib/iuavit/detail.action?docID=6874848</t>
  </si>
  <si>
    <t>The Plaston Concept : Plastic Deformation in Structural Materials</t>
  </si>
  <si>
    <t>Tanaka, Isao;Tsuji, Nobuhiro;Inui, Haruyuki</t>
  </si>
  <si>
    <t>https://ebookcentral.proquest.com/lib/iuavit/detail.action?docID=6874868</t>
  </si>
  <si>
    <t>Atlas of Global Change Risk of Population and Economic Systems</t>
  </si>
  <si>
    <t>Shi, Peijun</t>
  </si>
  <si>
    <t>https://ebookcentral.proquest.com/lib/iuavit/detail.action?docID=6874872</t>
  </si>
  <si>
    <t>The Sharing Economy in Europe : Developments, Practices, and Contradictions</t>
  </si>
  <si>
    <t>Česnuitytė, Vida;Klimczuk, Andrzej;Miguel, Cristina;Avram, Gabriela</t>
  </si>
  <si>
    <t>https://ebookcentral.proquest.com/lib/iuavit/detail.action?docID=6874889</t>
  </si>
  <si>
    <t>Golden Years of Australian Radio Astronomy : An Illustrated History</t>
  </si>
  <si>
    <t>Orchiston, Wayne;Robertson, Peter;Sullivan III, Woodruff T.</t>
  </si>
  <si>
    <t>https://ebookcentral.proquest.com/lib/iuavit/detail.action?docID=6875089</t>
  </si>
  <si>
    <t>Green Infrastructure and Climate Change Adaptation : Function, Implementation and Governance</t>
  </si>
  <si>
    <t>Nakamura, Futoshi</t>
  </si>
  <si>
    <t>https://ebookcentral.proquest.com/lib/iuavit/detail.action?docID=6875108</t>
  </si>
  <si>
    <t>Interlocal Adaptations to Climate Change in East and Southeast Asia : Sharing Lessons of Agriculture, Disaster Risk Reduction, and Resource Management</t>
  </si>
  <si>
    <t>Ito, Tetsuji;Tamura, Makoto;Kotera, Akihiko;Ishikawa-Ishiwata, Yuki</t>
  </si>
  <si>
    <t>https://ebookcentral.proquest.com/lib/iuavit/detail.action?docID=6875122</t>
  </si>
  <si>
    <t>The Nation Form in the Global Age : Ethnographic Perspectives</t>
  </si>
  <si>
    <t>Ahmad, Irfan;Kang, Jie</t>
  </si>
  <si>
    <t>https://ebookcentral.proquest.com/lib/iuavit/detail.action?docID=6876156</t>
  </si>
  <si>
    <t>Aviation Noise Impact Management : Technologies, Regulations, and Societal Well-Being in Europe</t>
  </si>
  <si>
    <t>Leylekian, Laurent;Covrig, Alexandra;Maximova, Alena</t>
  </si>
  <si>
    <t>https://ebookcentral.proquest.com/lib/iuavit/detail.action?docID=6877486</t>
  </si>
  <si>
    <t>Micro-Management of Irregular Migration : Internal Borders and Public Services in London and Barcelona</t>
  </si>
  <si>
    <t>Schweitzer, Reinhard</t>
  </si>
  <si>
    <t>https://ebookcentral.proquest.com/lib/iuavit/detail.action?docID=6877730</t>
  </si>
  <si>
    <t>Climate Adaptation Modelling</t>
  </si>
  <si>
    <t>Kondrup, Claus;Mercogliano, Paola;Bosello, Francesco;Mysiak, Jaroslav;Scoccimarro, Enrico;Rizzo, Angela;Ebrey, Rhian;Ruiter, Marleen de;Jeuken, Ad;Watkiss, Paul</t>
  </si>
  <si>
    <t>https://ebookcentral.proquest.com/lib/iuavit/detail.action?docID=6877773</t>
  </si>
  <si>
    <t>Prevention and Treatment of Atherosclerosis : Improving State-Of-the-Art Management and Search for Novel Targets</t>
  </si>
  <si>
    <t>von Eckardstein, Arnold;Binder, Christoph J.</t>
  </si>
  <si>
    <t>https://ebookcentral.proquest.com/lib/iuavit/detail.action?docID=6877842</t>
  </si>
  <si>
    <t>The Advisory Roles of Political Scientists in Europe : Comparing Engagements in Policy Advisory Systems</t>
  </si>
  <si>
    <t>Brans, Marleen;Timmermans, Arco</t>
  </si>
  <si>
    <t>https://ebookcentral.proquest.com/lib/iuavit/detail.action?docID=6877979</t>
  </si>
  <si>
    <t>Handbook of Digital Face Manipulation and Detection : From DeepFakes to Morphing Attacks</t>
  </si>
  <si>
    <t>Rathgeb, Christian;Tolosana, Ruben;Vera-Rodriguez, Ruben;Busch, Christoph</t>
  </si>
  <si>
    <t>TK7882.B56</t>
  </si>
  <si>
    <t>https://ebookcentral.proquest.com/lib/iuavit/detail.action?docID=6878098</t>
  </si>
  <si>
    <t>Unintended Lessons of Revolution : Student Teachers and Political Radicalism in Twentieth-Century Mexico</t>
  </si>
  <si>
    <t>Padilla, Tanalís</t>
  </si>
  <si>
    <t>LC5148</t>
  </si>
  <si>
    <t>https://ebookcentral.proquest.com/lib/iuavit/detail.action?docID=6878119</t>
  </si>
  <si>
    <t>Interplay of Things : Religion, Art, and Presence Together</t>
  </si>
  <si>
    <t>Pinn, Anthony B.</t>
  </si>
  <si>
    <t>Fine Arts; Religion</t>
  </si>
  <si>
    <t>N72</t>
  </si>
  <si>
    <t>https://ebookcentral.proquest.com/lib/iuavit/detail.action?docID=6878120</t>
  </si>
  <si>
    <t>Experimenting with Ethnography : A Companion to Analysis</t>
  </si>
  <si>
    <t>Ballestero, Andrea;Winthereik, Brit Ross</t>
  </si>
  <si>
    <t>GN345</t>
  </si>
  <si>
    <t>https://ebookcentral.proquest.com/lib/iuavit/detail.action?docID=6878121</t>
  </si>
  <si>
    <t>At the Limits of Cure</t>
  </si>
  <si>
    <t>Venkat, Bharat Jayram</t>
  </si>
  <si>
    <t>RC317</t>
  </si>
  <si>
    <t>https://ebookcentral.proquest.com/lib/iuavit/detail.action?docID=6878122</t>
  </si>
  <si>
    <t>Radiation Sounds : Marshallese Music and Nuclear Silences</t>
  </si>
  <si>
    <t>Schwartz, Jessica A.</t>
  </si>
  <si>
    <t>ML3917</t>
  </si>
  <si>
    <t>https://ebookcentral.proquest.com/lib/iuavit/detail.action?docID=6878123</t>
  </si>
  <si>
    <t>Evolutionary Equations : Picard's Theorem for Partial Differential Equations, and Applications</t>
  </si>
  <si>
    <t>Seifert, Christian;Trostorff, Sascha;Waurick, Marcus</t>
  </si>
  <si>
    <t>QA370-380</t>
  </si>
  <si>
    <t>https://ebookcentral.proquest.com/lib/iuavit/detail.action?docID=6882488</t>
  </si>
  <si>
    <t>Feminist Methodologies : Experiments, Collaborations and Reflections</t>
  </si>
  <si>
    <t>Harcourt, Wendy;van den Berg, Karijn;Dupuis, Constance;Gaybor, Jacqueline</t>
  </si>
  <si>
    <t>https://ebookcentral.proquest.com/lib/iuavit/detail.action?docID=6882491</t>
  </si>
  <si>
    <t>Vidding : A History</t>
  </si>
  <si>
    <t>Coppa, Francesca</t>
  </si>
  <si>
    <t>Engineering; Engineering: Electrical; Fine Arts</t>
  </si>
  <si>
    <t>https://ebookcentral.proquest.com/lib/iuavit/detail.action?docID=6884828</t>
  </si>
  <si>
    <t>Regenerative Territories : Dimensions of Circularity for Healthy Metabolisms</t>
  </si>
  <si>
    <t>Amenta, Libera;Russo, Michelangelo;van Timmeren, Arjan</t>
  </si>
  <si>
    <t>Social Science; Environmental Studies; Geography/Travel</t>
  </si>
  <si>
    <t>https://ebookcentral.proquest.com/lib/iuavit/detail.action?docID=6884889</t>
  </si>
  <si>
    <t>Contracting and Safety : Exploring Outsourcing Practices in High-Hazard Industries</t>
  </si>
  <si>
    <t>Hayes, Jan;Tillement, Stéphanie</t>
  </si>
  <si>
    <t>https://ebookcentral.proquest.com/lib/iuavit/detail.action?docID=6884913</t>
  </si>
  <si>
    <t>The EBMT/EHA CAR-T Cell Handbook</t>
  </si>
  <si>
    <t>Kröger, Nicolaus;Gribben, John;Chabannon, Christian;Yakoub-Agha, Ibrahim;Einsele, Hermann</t>
  </si>
  <si>
    <t>https://ebookcentral.proquest.com/lib/iuavit/detail.action?docID=6884928</t>
  </si>
  <si>
    <t>Education to Build Back Better : What Can We Learn from Education Reform for a Post-Pandemic World</t>
  </si>
  <si>
    <t>Reimers, Fernando M.;Amaechi, Uche;Banerji, Alysha;Wang, Margaret</t>
  </si>
  <si>
    <t>https://ebookcentral.proquest.com/lib/iuavit/detail.action?docID=6885901</t>
  </si>
  <si>
    <t>Modern Socio-Technical Perspectives on Privacy</t>
  </si>
  <si>
    <t>Knijnenburg, Bart P.;Page, Xinru;Wisniewski, Pamela;Lipford, Heather Richter;Proferes, Nicholas;Romano, Jennifer</t>
  </si>
  <si>
    <t>https://ebookcentral.proquest.com/lib/iuavit/detail.action?docID=6885922</t>
  </si>
  <si>
    <t>The Neo-Aramaic Oral Heritage of the Jews of Zakho</t>
  </si>
  <si>
    <t>Aloni, Oz</t>
  </si>
  <si>
    <t>https://ebookcentral.proquest.com/lib/iuavit/detail.action?docID=6886954</t>
  </si>
  <si>
    <t>Replanteando la Acción Social Por la Música : La Búsqueda de la Convivencia y la Ciudadanía en la Red de Escuelas de Música de Medellín</t>
  </si>
  <si>
    <t>Baker, Geoffrey;García, Claudia</t>
  </si>
  <si>
    <t>https://ebookcentral.proquest.com/lib/iuavit/detail.action?docID=6886955</t>
  </si>
  <si>
    <t>Democratising Participatory Research : Pathways to Social Justice from the South</t>
  </si>
  <si>
    <t>Martinez-Vargas, Carmen</t>
  </si>
  <si>
    <t>https://ebookcentral.proquest.com/lib/iuavit/detail.action?docID=6886956</t>
  </si>
  <si>
    <t>Making Sense of Work Through Collaborative Storytelling : Building Narratives in Organisational Change</t>
  </si>
  <si>
    <t>Cleland Silva, Tricia;de Tarso Fonseca Silva, Paulo</t>
  </si>
  <si>
    <t>https://ebookcentral.proquest.com/lib/iuavit/detail.action?docID=6887009</t>
  </si>
  <si>
    <t>Identifying Security Logics in the EU Policy Discourse : The Migration Crisis and the EU</t>
  </si>
  <si>
    <t>Stępka, Maciej</t>
  </si>
  <si>
    <t>https://ebookcentral.proquest.com/lib/iuavit/detail.action?docID=6887015</t>
  </si>
  <si>
    <t>Learning to Diagnose with Simulations : Examples from Teacher Education and Medical Education</t>
  </si>
  <si>
    <t>Fischer, Frank;Opitz, Ansgar</t>
  </si>
  <si>
    <t>https://ebookcentral.proquest.com/lib/iuavit/detail.action?docID=6887180</t>
  </si>
  <si>
    <t>Education for Sustaining Peace Through Historical Memory</t>
  </si>
  <si>
    <t>Schultze-Kraft, Markus</t>
  </si>
  <si>
    <t>https://ebookcentral.proquest.com/lib/iuavit/detail.action?docID=6887200</t>
  </si>
  <si>
    <t>Seeds for Diversity and Inclusion : Agroecology and Endogenous Development</t>
  </si>
  <si>
    <t>Nishikawa, Yoshiaki;Pimbert, Michel</t>
  </si>
  <si>
    <t>Environmental Studies; Agriculture</t>
  </si>
  <si>
    <t>https://ebookcentral.proquest.com/lib/iuavit/detail.action?docID=6887326</t>
  </si>
  <si>
    <t>Anthropological Perspectives on Environmental Communication</t>
  </si>
  <si>
    <t>Sjölander-Lindqvist, Annelie;Murin, Ivan;Dove, Michael E.</t>
  </si>
  <si>
    <t>https://ebookcentral.proquest.com/lib/iuavit/detail.action?docID=6888358</t>
  </si>
  <si>
    <t>The Legibility of Serif and Sans Serif Typefaces : Reading from Paper and Reading from Screens</t>
  </si>
  <si>
    <t>Richardson, John T. E.</t>
  </si>
  <si>
    <t>Education; Engineering: Manufacturing; Engineering</t>
  </si>
  <si>
    <t>https://ebookcentral.proquest.com/lib/iuavit/detail.action?docID=6889616</t>
  </si>
  <si>
    <t>Researching Values : Methodological Approaches for Understanding Values Work in Organisations and Leadership</t>
  </si>
  <si>
    <t>Espedal, Gry;Jelstad Løvaas, Beate;Sirris, Stephen;Wæraas, Arild</t>
  </si>
  <si>
    <t>HD58.8</t>
  </si>
  <si>
    <t>https://ebookcentral.proquest.com/lib/iuavit/detail.action?docID=6889645</t>
  </si>
  <si>
    <t>From West to North Frisia : A Journey along the North Sea Coast. Frisian Studies in Honour of Jarich Hoekstra</t>
  </si>
  <si>
    <t>Walker, Alastair;Hoekstra, Eric;Jensma, Goffe;Vanselow, Wendy;Visser, Willem;Winter, Christoph</t>
  </si>
  <si>
    <t>PF1415</t>
  </si>
  <si>
    <t>https://ebookcentral.proquest.com/lib/iuavit/detail.action?docID=6889685</t>
  </si>
  <si>
    <t>Intelligent Systems for Sustainable Person-Centered Healthcare</t>
  </si>
  <si>
    <t>Kriksciuniene, Dalia;Sakalauskas, Virgilijus</t>
  </si>
  <si>
    <t>Q342</t>
  </si>
  <si>
    <t>https://ebookcentral.proquest.com/lib/iuavit/detail.action?docID=6891944</t>
  </si>
  <si>
    <t>Transition and Opportunity : Strategies from Business Leaders on Making the Most of China's Future</t>
  </si>
  <si>
    <t>Wang, Huiyao;Miao, Lu</t>
  </si>
  <si>
    <t>https://ebookcentral.proquest.com/lib/iuavit/detail.action?docID=6891949</t>
  </si>
  <si>
    <t>Jia Zhangke on Jia Zhangke</t>
  </si>
  <si>
    <t>Berry, Michael</t>
  </si>
  <si>
    <t>PN1998</t>
  </si>
  <si>
    <t>https://ebookcentral.proquest.com/lib/iuavit/detail.action?docID=6892138</t>
  </si>
  <si>
    <t>Subjektunabhängige, Analytische Unternehmensethik : Begründung und Relevanz Als Praktisch-Normative Betriebswirtschaftslehre</t>
  </si>
  <si>
    <t>Fuchs, Florian</t>
  </si>
  <si>
    <t>https://ebookcentral.proquest.com/lib/iuavit/detail.action?docID=6892156</t>
  </si>
  <si>
    <t>Guidebook to Carbon Neutrality in China : Macro and Industry Trends under New Constraints</t>
  </si>
  <si>
    <t>CICC Research, CICC Global Institute</t>
  </si>
  <si>
    <t>https://ebookcentral.proquest.com/lib/iuavit/detail.action?docID=6892216</t>
  </si>
  <si>
    <t>Dumbing Down : The Crisis of Quality and Equity in a Once-Great School System--And How to Reverse the Trend</t>
  </si>
  <si>
    <t>Henrekson, Magnus;Wennström, Johan</t>
  </si>
  <si>
    <t>https://ebookcentral.proquest.com/lib/iuavit/detail.action?docID=6892674</t>
  </si>
  <si>
    <t>The Greater Chaco Landscape : Ancestors, Scholarship, and Advocacy</t>
  </si>
  <si>
    <t>University Press of Colorado</t>
  </si>
  <si>
    <t>Van Dyke, Ruth M.;Heitman, Carrie C.</t>
  </si>
  <si>
    <t>E99</t>
  </si>
  <si>
    <t>Chaco architecture -- New Mexico -- Chaco Canyon.</t>
  </si>
  <si>
    <t>https://ebookcentral.proquest.com/lib/iuavit/detail.action?docID=6892777</t>
  </si>
  <si>
    <t>Historicizing Fear : Ignorance, Vilification, and Othering</t>
  </si>
  <si>
    <t>Boyce, Travis D.;Chunnu, Winsome M.</t>
  </si>
  <si>
    <t>BF575</t>
  </si>
  <si>
    <t>Fear -- Political aspects -- History.</t>
  </si>
  <si>
    <t>https://ebookcentral.proquest.com/lib/iuavit/detail.action?docID=6892778</t>
  </si>
  <si>
    <t>Maya Gods of War</t>
  </si>
  <si>
    <t>Bassie-Sweet, Karen</t>
  </si>
  <si>
    <t>F1435</t>
  </si>
  <si>
    <t>Maya gods.</t>
  </si>
  <si>
    <t>https://ebookcentral.proquest.com/lib/iuavit/detail.action?docID=6892789</t>
  </si>
  <si>
    <t>Metalearning : Applications to Automated Machine Learning and Data Mining</t>
  </si>
  <si>
    <t>Brazdil, Pavel;van Rijn, Jan N.;Soares, Carlos;Vanschoren, Joaquin</t>
  </si>
  <si>
    <t>Computer Science/IT; Science</t>
  </si>
  <si>
    <t>https://ebookcentral.proquest.com/lib/iuavit/detail.action?docID=6893332</t>
  </si>
  <si>
    <t>Das Erweiterte Museum : Medien, Technologien und Internet</t>
  </si>
  <si>
    <t>Franken-Wendelstorf, Regina;Greisinger, Sybille;Gries, Christian;Pellengahr, Astrid</t>
  </si>
  <si>
    <t>Computer Science/IT; Fine Arts</t>
  </si>
  <si>
    <t>https://ebookcentral.proquest.com/lib/iuavit/detail.action?docID=6893818</t>
  </si>
  <si>
    <t>Equity Policies in Global Higher Education : Reducing Inequality and Increasing Participation and Attainment</t>
  </si>
  <si>
    <t>Tavares, Orlanda;Sá, Carla;Sin, Cristina;Amaral, Alberto</t>
  </si>
  <si>
    <t>https://ebookcentral.proquest.com/lib/iuavit/detail.action?docID=6894509</t>
  </si>
  <si>
    <t>Al-Haq : A Global History of the First Palestinian Human Rights Organization</t>
  </si>
  <si>
    <t>University of California Press</t>
  </si>
  <si>
    <t>Welchman, Lynn</t>
  </si>
  <si>
    <t>https://ebookcentral.proquest.com/lib/iuavit/detail.action?docID=6894681</t>
  </si>
  <si>
    <t>Societies in Transition in Early Greece : An Archaeological History</t>
  </si>
  <si>
    <t>Knodell, Alex R.</t>
  </si>
  <si>
    <t>https://ebookcentral.proquest.com/lib/iuavit/detail.action?docID=6894690</t>
  </si>
  <si>
    <t>A Proximate Remove : Queering Intimacy and Loss in the Tale of Genji</t>
  </si>
  <si>
    <t>Jackson, Reginald</t>
  </si>
  <si>
    <t>https://ebookcentral.proquest.com/lib/iuavit/detail.action?docID=6894710</t>
  </si>
  <si>
    <t>The Endurance of Palestinian Political Factions : An Everyday Perspective from Nahr el-Bared Camp</t>
  </si>
  <si>
    <t>Issa, Perla</t>
  </si>
  <si>
    <t>https://ebookcentral.proquest.com/lib/iuavit/detail.action?docID=6894846</t>
  </si>
  <si>
    <t>Brought to Life by the Voice : Playback Singing and Cultural Politics in South India</t>
  </si>
  <si>
    <t>Weidman, Amanda</t>
  </si>
  <si>
    <t>https://ebookcentral.proquest.com/lib/iuavit/detail.action?docID=6894889</t>
  </si>
  <si>
    <t>The Funeral of Mr. Wang : Life, Death, and Ghosts in Urbanizing China</t>
  </si>
  <si>
    <t>Kipnis, Andrew B.</t>
  </si>
  <si>
    <t>https://ebookcentral.proquest.com/lib/iuavit/detail.action?docID=6895000</t>
  </si>
  <si>
    <t>Knowing about Genocide : Armenian Suffering and Epistemic Struggles</t>
  </si>
  <si>
    <t>Savelsberg, Joachim J.</t>
  </si>
  <si>
    <t>https://ebookcentral.proquest.com/lib/iuavit/detail.action?docID=6895014</t>
  </si>
  <si>
    <t>Public Policies and Food Systems in Latin America</t>
  </si>
  <si>
    <t>Le Coq, Jean-François;Grisa, Catia;Guéneau, Stéphane;Niederle, Paulo</t>
  </si>
  <si>
    <t>https://ebookcentral.proquest.com/lib/iuavit/detail.action?docID=6896336</t>
  </si>
  <si>
    <t>(Post-)colonial Archipelagos : Comparing the Legacies of Spanish Colonialism in Cuba, Puerto Rico, and the Philippines</t>
  </si>
  <si>
    <t>Burchardt, Hans-Jürgen;Leinius, Johanna</t>
  </si>
  <si>
    <t>JV4060</t>
  </si>
  <si>
    <t>325/.37094</t>
  </si>
  <si>
    <t>https://ebookcentral.proquest.com/lib/iuavit/detail.action?docID=6896492</t>
  </si>
  <si>
    <t>The Pandemic of Argumentation</t>
  </si>
  <si>
    <t>Oswald, Steve;Lewiński, Marcin;Greco, Sara;Villata, Serena</t>
  </si>
  <si>
    <t>P101-120</t>
  </si>
  <si>
    <t>https://ebookcentral.proquest.com/lib/iuavit/detail.action?docID=6897051</t>
  </si>
  <si>
    <t>Mathematical Modeling of the Human Brain : From Magnetic Resonance Images to Finite Element Simulation</t>
  </si>
  <si>
    <t>Mardal, Kent-André;Rognes, Marie E.;Thompson, Travis B.;Valnes, Lars Magnus</t>
  </si>
  <si>
    <t>TA342-343</t>
  </si>
  <si>
    <t>https://ebookcentral.proquest.com/lib/iuavit/detail.action?docID=6897088</t>
  </si>
  <si>
    <t>The Vortex and the Jet : A Journey into the Beauty and Mystery of Flight</t>
  </si>
  <si>
    <t>Decher, Reiner</t>
  </si>
  <si>
    <t>TL1-4050</t>
  </si>
  <si>
    <t>https://ebookcentral.proquest.com/lib/iuavit/detail.action?docID=6897094</t>
  </si>
  <si>
    <t>Feminist IR in Europe : Knowledge Production in Academic Institutions</t>
  </si>
  <si>
    <t>Stern, Maria;Towns, Ann E.</t>
  </si>
  <si>
    <t>https://ebookcentral.proquest.com/lib/iuavit/detail.action?docID=6897842</t>
  </si>
  <si>
    <t>The Future of Financial Systems in the Digital Age : Perspectives from Europe and Japan</t>
  </si>
  <si>
    <t>Heckel, Markus;Waldenberger, Franz</t>
  </si>
  <si>
    <t>https://ebookcentral.proquest.com/lib/iuavit/detail.action?docID=6898000</t>
  </si>
  <si>
    <t>Learning, Marginalization, and Improving the Quality of Education in Low-Income Countries</t>
  </si>
  <si>
    <t>Wagner, Daniel A.;Castillo, Nathan M.;Grant Lewis, Suzanne</t>
  </si>
  <si>
    <t>https://ebookcentral.proquest.com/lib/iuavit/detail.action?docID=6898001</t>
  </si>
  <si>
    <t>The Form of Ideology and the Ideology of Form : Cold War, Decolonization and Third World Print Cultures</t>
  </si>
  <si>
    <t>Orsini, Francesca;Srivastava, Neelam;Zecchini, Laetitia</t>
  </si>
  <si>
    <t>https://ebookcentral.proquest.com/lib/iuavit/detail.action?docID=6898002</t>
  </si>
  <si>
    <t>William Sharp and Fiona Macleod : A Life</t>
  </si>
  <si>
    <t>https://ebookcentral.proquest.com/lib/iuavit/detail.action?docID=6898003</t>
  </si>
  <si>
    <t>Traces of War : Interpreting Ethics and Trauma in Twentieth-Century French Writing</t>
  </si>
  <si>
    <t>Davis, Colin</t>
  </si>
  <si>
    <t>https://ebookcentral.proquest.com/lib/iuavit/detail.action?docID=6898657</t>
  </si>
  <si>
    <t>Marie NDiaye : Blankness and Recognition</t>
  </si>
  <si>
    <t>Asibong, Andrew</t>
  </si>
  <si>
    <t>https://ebookcentral.proquest.com/lib/iuavit/detail.action?docID=6898660</t>
  </si>
  <si>
    <t>French Cycling : A Social and Cultural History</t>
  </si>
  <si>
    <t>Dauncey, Hugh</t>
  </si>
  <si>
    <t>https://ebookcentral.proquest.com/lib/iuavit/detail.action?docID=6898667</t>
  </si>
  <si>
    <t>Cultures of Anyone : Studies on Cultural Democratization in the Spanish Neoliberal Crisis</t>
  </si>
  <si>
    <t>Moreno-Caballud, Luis</t>
  </si>
  <si>
    <t>306.2/0946</t>
  </si>
  <si>
    <t>https://ebookcentral.proquest.com/lib/iuavit/detail.action?docID=6898672</t>
  </si>
  <si>
    <t>Spanish Spaces : Landscape, Space and Place in Contemporary Spanish Culture</t>
  </si>
  <si>
    <t>Davies, Ann</t>
  </si>
  <si>
    <t>https://ebookcentral.proquest.com/lib/iuavit/detail.action?docID=6898677</t>
  </si>
  <si>
    <t>The Most Dreadful Visitation : Male Madness in Victorian Fiction</t>
  </si>
  <si>
    <t>Pedlar, Valerie</t>
  </si>
  <si>
    <t>https://ebookcentral.proquest.com/lib/iuavit/detail.action?docID=6898681</t>
  </si>
  <si>
    <t>Haiti Unbound : A Spiralist Challenge to the Postcolonial Canon</t>
  </si>
  <si>
    <t>Glover, Kaiama L.</t>
  </si>
  <si>
    <t>https://ebookcentral.proquest.com/lib/iuavit/detail.action?docID=6898682</t>
  </si>
  <si>
    <t>Borrowed Forms : The Music and Ethics of Transnational Fiction</t>
  </si>
  <si>
    <t>Lachman, Kathryn</t>
  </si>
  <si>
    <t>https://ebookcentral.proquest.com/lib/iuavit/detail.action?docID=6898683</t>
  </si>
  <si>
    <t>Race on Display in 20th- and 21st Century France</t>
  </si>
  <si>
    <t>Knox, Katelyn E.</t>
  </si>
  <si>
    <t>https://ebookcentral.proquest.com/lib/iuavit/detail.action?docID=6898684</t>
  </si>
  <si>
    <t>Creolizing Europe : Legacies and Transformations</t>
  </si>
  <si>
    <t>Gutiérrez Rodríguez, Encarnación;Tate, Shirley Anne</t>
  </si>
  <si>
    <t>https://ebookcentral.proquest.com/lib/iuavit/detail.action?docID=6898686</t>
  </si>
  <si>
    <t>Imperial Emotions : Cultural Responses to Myths of Empire in Fin-De-Siècle Spain</t>
  </si>
  <si>
    <t>Krauel, Javier</t>
  </si>
  <si>
    <t>https://ebookcentral.proquest.com/lib/iuavit/detail.action?docID=6898701</t>
  </si>
  <si>
    <t>Contemporary Irish Women Poets : Memory and Estrangement</t>
  </si>
  <si>
    <t>Collins, Lucy</t>
  </si>
  <si>
    <t>https://ebookcentral.proquest.com/lib/iuavit/detail.action?docID=6898703</t>
  </si>
  <si>
    <t>What Is Québécois Literature? : Reflections on the Literary History of Francophone Writing in Canada</t>
  </si>
  <si>
    <t>Chapman, Rosemary</t>
  </si>
  <si>
    <t>PS9071.C49 2013eb</t>
  </si>
  <si>
    <t>https://ebookcentral.proquest.com/lib/iuavit/detail.action?docID=6898708</t>
  </si>
  <si>
    <t>Contagion and Enclaves : Tropical Medicine in Colonial India</t>
  </si>
  <si>
    <t>Bhattacharya, Nandini</t>
  </si>
  <si>
    <t>https://ebookcentral.proquest.com/lib/iuavit/detail.action?docID=6898710</t>
  </si>
  <si>
    <t>Involuntary Associations : Postcolonial Studies and World Englishes</t>
  </si>
  <si>
    <t>Huddart, David</t>
  </si>
  <si>
    <t>https://ebookcentral.proquest.com/lib/iuavit/detail.action?docID=6898712</t>
  </si>
  <si>
    <t>Postgrowth Imaginaries : New Ecologies and Counterhegemonic Culture in Post-2008 Spain</t>
  </si>
  <si>
    <t>Prádanos, Luis I.</t>
  </si>
  <si>
    <t>https://ebookcentral.proquest.com/lib/iuavit/detail.action?docID=6898723</t>
  </si>
  <si>
    <t>American Creoles : The Francophone Caribbean and the American South</t>
  </si>
  <si>
    <t>Munro, Martin;Britton, Celia</t>
  </si>
  <si>
    <t>https://ebookcentral.proquest.com/lib/iuavit/detail.action?docID=6898724</t>
  </si>
  <si>
    <t>Disability Studies and Spanish Culture : Films, Novels, the Comic and the Public Exhibition</t>
  </si>
  <si>
    <t>Fraser, Benjamin</t>
  </si>
  <si>
    <t>https://ebookcentral.proquest.com/lib/iuavit/detail.action?docID=6898726</t>
  </si>
  <si>
    <t>Michel Houellebecq : Humanity and Its Aftermath</t>
  </si>
  <si>
    <t>Morrey, Douglas</t>
  </si>
  <si>
    <t>https://ebookcentral.proquest.com/lib/iuavit/detail.action?docID=6898727</t>
  </si>
  <si>
    <t>Jamaica Making : The Theresa Roberts Art Collection</t>
  </si>
  <si>
    <t>Roberts, Emma</t>
  </si>
  <si>
    <t>https://ebookcentral.proquest.com/lib/iuavit/detail.action?docID=6898728</t>
  </si>
  <si>
    <t>Knights Across the Atlantic : The Knights of Labor in Britain and Ireland</t>
  </si>
  <si>
    <t>Parfitt, Steven</t>
  </si>
  <si>
    <t>331.88/330941</t>
  </si>
  <si>
    <t>https://ebookcentral.proquest.com/lib/iuavit/detail.action?docID=6898733</t>
  </si>
  <si>
    <t>Roland Barthes at the Collège de France</t>
  </si>
  <si>
    <t>O'Meara, Lucy</t>
  </si>
  <si>
    <t>https://ebookcentral.proquest.com/lib/iuavit/detail.action?docID=6898737</t>
  </si>
  <si>
    <t>Middlebrow Matters : Women's Reading and the Literary Canon in France since the Belle Époque</t>
  </si>
  <si>
    <t>Holmes, Diana</t>
  </si>
  <si>
    <t>https://ebookcentral.proquest.com/lib/iuavit/detail.action?docID=6898738</t>
  </si>
  <si>
    <t>Worker Voice : Employee Representation in the Workplace in Australia, Canada, Germany, the UK and the US 1914-1939</t>
  </si>
  <si>
    <t>Patmore, Greg</t>
  </si>
  <si>
    <t>https://ebookcentral.proquest.com/lib/iuavit/detail.action?docID=6898741</t>
  </si>
  <si>
    <t>Beastly Journeys : Travel and Transformation at the Fin de Siècle</t>
  </si>
  <si>
    <t>Youngs, Tim</t>
  </si>
  <si>
    <t>https://ebookcentral.proquest.com/lib/iuavit/detail.action?docID=6898750</t>
  </si>
  <si>
    <t>The Mauritian Novel : Fictions of Belonging</t>
  </si>
  <si>
    <t>Waters, Julia</t>
  </si>
  <si>
    <t>https://ebookcentral.proquest.com/lib/iuavit/detail.action?docID=6898763</t>
  </si>
  <si>
    <t>Vital Subjects : Race and Biopolitics in Italy 1860-1920</t>
  </si>
  <si>
    <t>Welch, Rhiannon Noel</t>
  </si>
  <si>
    <t>945/.08</t>
  </si>
  <si>
    <t>https://ebookcentral.proquest.com/lib/iuavit/detail.action?docID=6898765</t>
  </si>
  <si>
    <t>Articulating Bodies : The Narrative Form of Disability and Illness in Victorian Fiction</t>
  </si>
  <si>
    <t>Hingston, Kylee-Anne</t>
  </si>
  <si>
    <t>https://ebookcentral.proquest.com/lib/iuavit/detail.action?docID=6898768</t>
  </si>
  <si>
    <t>The Historical Jesus and the Literary Imagination 1860-1920</t>
  </si>
  <si>
    <t>Stevens, Jennifer</t>
  </si>
  <si>
    <t>https://ebookcentral.proquest.com/lib/iuavit/detail.action?docID=6898772</t>
  </si>
  <si>
    <t>Rhetorics of Belonging : Nation, Narration, and Israel/Palestine</t>
  </si>
  <si>
    <t>PJ5012.I87</t>
  </si>
  <si>
    <t>https://ebookcentral.proquest.com/lib/iuavit/detail.action?docID=6898773</t>
  </si>
  <si>
    <t>Literary Reimaginings of Argentina's Independence : History, Fiction, Politics</t>
  </si>
  <si>
    <t>McAllister, Catriona</t>
  </si>
  <si>
    <t>https://ebookcentral.proquest.com/lib/iuavit/detail.action?docID=6898775</t>
  </si>
  <si>
    <t>Byron and the Forms of Thought</t>
  </si>
  <si>
    <t>Howe, Anthony</t>
  </si>
  <si>
    <t>PR4388.H69 2013eb</t>
  </si>
  <si>
    <t>https://ebookcentral.proquest.com/lib/iuavit/detail.action?docID=6898776</t>
  </si>
  <si>
    <t>The Sanitation Triangle : Socio-Culture, Health and Materials</t>
  </si>
  <si>
    <t>Yamauchi, Taro;Nakao, Seiji;Harada, Hidenori</t>
  </si>
  <si>
    <t>RA565-600</t>
  </si>
  <si>
    <t>https://ebookcentral.proquest.com/lib/iuavit/detail.action?docID=6898800</t>
  </si>
  <si>
    <t>International Impacts on Social Policy : Short Histories in Global Perspective</t>
  </si>
  <si>
    <t>Nullmeier, Frank;González de Reufels, Delia;Obinger, Herbert</t>
  </si>
  <si>
    <t>https://ebookcentral.proquest.com/lib/iuavit/detail.action?docID=6898801</t>
  </si>
  <si>
    <t>Ernst Denert Award for Software Engineering 2020 : Practice Meets Foundations</t>
  </si>
  <si>
    <t>https://ebookcentral.proquest.com/lib/iuavit/detail.action?docID=6898804</t>
  </si>
  <si>
    <t>Digitale Medien und Nachhaltigkeit : Medienpraktiken Für ein Gutes Leben</t>
  </si>
  <si>
    <t>Kannengießer, Sigrid</t>
  </si>
  <si>
    <t>https://ebookcentral.proquest.com/lib/iuavit/detail.action?docID=6898809</t>
  </si>
  <si>
    <t>SDGs, Transformation, and Quality Growth : Insights from International Cooperation</t>
  </si>
  <si>
    <t>Hosono, Akio</t>
  </si>
  <si>
    <t>https://ebookcentral.proquest.com/lib/iuavit/detail.action?docID=6898821</t>
  </si>
  <si>
    <t>Präventionsarbeit der Polizei Als Pädagogische Herausforderung : Empirische Rekonstruktionen Im Umgang Mit Kindern und Jugendlichen</t>
  </si>
  <si>
    <t>Kepura, Jürgen</t>
  </si>
  <si>
    <t>https://ebookcentral.proquest.com/lib/iuavit/detail.action?docID=6898826</t>
  </si>
  <si>
    <t>Intercultural Approaches to Education : From Theory to Practice</t>
  </si>
  <si>
    <t>Akkari, Abdeljalil;Radhouane, Myriam</t>
  </si>
  <si>
    <t>https://ebookcentral.proquest.com/lib/iuavit/detail.action?docID=6898851</t>
  </si>
  <si>
    <t>Die Bedeutung Von Flüchtling, Geflüchtete_r und Migrant_in : Eine Frame-Semantische Untersuchung Zum Diskurs Zur Sog. Flüchtlingskrise</t>
  </si>
  <si>
    <t>Neumair, Phillip Alexander</t>
  </si>
  <si>
    <t>https://ebookcentral.proquest.com/lib/iuavit/detail.action?docID=6899791</t>
  </si>
  <si>
    <t>Transformation Literacy : Pathways to Regenerative Civilizations</t>
  </si>
  <si>
    <t>Künkel, Petra;Ragnarsdottir, Kristin Vala</t>
  </si>
  <si>
    <t>https://ebookcentral.proquest.com/lib/iuavit/detail.action?docID=6904261</t>
  </si>
  <si>
    <t>Wicked Problems in Public Policy : Understanding and Responding to Complex Challenges</t>
  </si>
  <si>
    <t>Head, Brian W.</t>
  </si>
  <si>
    <t>https://ebookcentral.proquest.com/lib/iuavit/detail.action?docID=6912963</t>
  </si>
  <si>
    <t>Academic Integrity in Canada : An Enduring and Essential Challenge</t>
  </si>
  <si>
    <t>Eaton, Sarah Elaine;Christensen Hughes, Julia</t>
  </si>
  <si>
    <t>https://ebookcentral.proquest.com/lib/iuavit/detail.action?docID=6912980</t>
  </si>
  <si>
    <t>Vzdělávání žáků s Aspergerovým syndromem v inkluzivní třídě : Metodická příručka</t>
  </si>
  <si>
    <t>Masaryk University</t>
  </si>
  <si>
    <t>Bazalová, Barbora</t>
  </si>
  <si>
    <t>Czech</t>
  </si>
  <si>
    <t>https://ebookcentral.proquest.com/lib/iuavit/detail.action?docID=6913509</t>
  </si>
  <si>
    <t>65. studentská vědecká konference : Program a sborník abstraktů</t>
  </si>
  <si>
    <t>Jurajda, Michal</t>
  </si>
  <si>
    <t>https://ebookcentral.proquest.com/lib/iuavit/detail.action?docID=6913510</t>
  </si>
  <si>
    <t>Metodika práce s třídním kolektivem v inkluzivní třídě se zaměřením na žáky se sluchovým postižením : Metodická příručka</t>
  </si>
  <si>
    <t>Bytešníková, Ilona;Doležalová, Lenka;Horáková, Radka</t>
  </si>
  <si>
    <t>https://ebookcentral.proquest.com/lib/iuavit/detail.action?docID=6913511</t>
  </si>
  <si>
    <t>Praxe studijního programu Učitelství pro mateřské školy: metodická příručka pro studenty</t>
  </si>
  <si>
    <t>Syslová, Zora;Štěpánková, Lucie;Jindra, Miroslav;Kouřilová, Iva;Křížová, Hana;Mužíková, Leona;Novotná, Pavla;Stadlerová, Hana;Taylor, Daniela</t>
  </si>
  <si>
    <t>https://ebookcentral.proquest.com/lib/iuavit/detail.action?docID=6913512</t>
  </si>
  <si>
    <t>Metodika dlouhodobého ukládání a archivace digitálních dokumentů</t>
  </si>
  <si>
    <t>Pichl, Marek;Křipač, Miroslav;Brandejsová, Jitka;Zemanová, Růžena;Brandejs, Michal</t>
  </si>
  <si>
    <t>https://ebookcentral.proquest.com/lib/iuavit/detail.action?docID=6913513</t>
  </si>
  <si>
    <t>Terminologia graeco-latina medica pro studijní obory fyzioterapie a všeobecná sestra</t>
  </si>
  <si>
    <t>Švanda, Libor;Pořízková, Kateřina;Artimová, Jozefa;Dávidová, Eva</t>
  </si>
  <si>
    <t>https://ebookcentral.proquest.com/lib/iuavit/detail.action?docID=6913514</t>
  </si>
  <si>
    <t>Terminologia graeco-latina medica pro bakalářské obory Lékařské fakulty MU : Gramatická příručka</t>
  </si>
  <si>
    <t>Pořízková, Kateřina;Artimová, Jozefa;Švanda, Libor;Dávidová, Eva</t>
  </si>
  <si>
    <t>https://ebookcentral.proquest.com/lib/iuavit/detail.action?docID=6913515</t>
  </si>
  <si>
    <t>Terminologia graeco-latina medica pro studijní obor porodní asistentka</t>
  </si>
  <si>
    <t>Artimová, Jozefa;Pořízková, Kateřina;Švanda, Libor;Dávidová, Eva</t>
  </si>
  <si>
    <t>https://ebookcentral.proquest.com/lib/iuavit/detail.action?docID=6913516</t>
  </si>
  <si>
    <t>Já z hvězd svou moudrost nevyčet… : Studentský sborník intermediálních analýz</t>
  </si>
  <si>
    <t>Jedličková, Alice;Fedrová, Stanislava;Janáková, Martina;Kos, Matěj;Koutská, Michaela;Kubecová, Veronika;Nahodilová, Tereza;Petreková, Lucie;Syrota, Anastasia;Šašalová, Veronika</t>
  </si>
  <si>
    <t>https://ebookcentral.proquest.com/lib/iuavit/detail.action?docID=6913517</t>
  </si>
  <si>
    <t>Terminologies, Lexical Hierarchies and other Configurations</t>
  </si>
  <si>
    <t>Vogel, Radek</t>
  </si>
  <si>
    <t>https://ebookcentral.proquest.com/lib/iuavit/detail.action?docID=6913518</t>
  </si>
  <si>
    <t>Transdisciplinární didaktika: o učitelském sdílení znalostí a zvyšování kvality výuky napříč obory</t>
  </si>
  <si>
    <t>Slavík, Jan;Janík, Tomáš;Najvar, Petr;Knecht, Petr</t>
  </si>
  <si>
    <t>https://ebookcentral.proquest.com/lib/iuavit/detail.action?docID=6913519</t>
  </si>
  <si>
    <t>Smooth and F-smooth systems with applications to Covariant Quantum Mechanics</t>
  </si>
  <si>
    <t>Janyška, Josef;Modugno, Marco</t>
  </si>
  <si>
    <t>https://ebookcentral.proquest.com/lib/iuavit/detail.action?docID=6913520</t>
  </si>
  <si>
    <t>Foglar v nás: Záhada hlav a lomu</t>
  </si>
  <si>
    <t>Jirásek, Ivo;Němec, Jiří;Macků, Richard</t>
  </si>
  <si>
    <t>https://ebookcentral.proquest.com/lib/iuavit/detail.action?docID=6913521</t>
  </si>
  <si>
    <t>Slovanský literární svět: kontexty a konfrontace III : Motiv domova ve slovanských literaturách</t>
  </si>
  <si>
    <t>Paučová, Lenka;Bujnáková, Jana;Cepková, Zuzana;Derková, Vladimíra;Eniko, Mateja;Heinigová, Lenka;Hrancová, Hana;Hroncová, Ľubica;Lollok, Marek;Macsaliová, Lenka</t>
  </si>
  <si>
    <t>https://ebookcentral.proquest.com/lib/iuavit/detail.action?docID=6913522</t>
  </si>
  <si>
    <t>Proceedings of the 11th International Conference on Kinanthropology : 29. 11. – 1. 12. 2017</t>
  </si>
  <si>
    <t>Zvonař, Martin;Sajdlová, Zuzana</t>
  </si>
  <si>
    <t>https://ebookcentral.proquest.com/lib/iuavit/detail.action?docID=6913523</t>
  </si>
  <si>
    <t>Momentum. Umění a kosmopolitní modernita</t>
  </si>
  <si>
    <t>Horáková, Jana;Kreuzzieger, Milan;Szerszynski, Bronislaw;Urry, John;Beck, Ulrich;Grande, Edgar;Delanty, Gerard;Kořínek, David;Macek, Petr</t>
  </si>
  <si>
    <t>https://ebookcentral.proquest.com/lib/iuavit/detail.action?docID=6913524</t>
  </si>
  <si>
    <t>Slovanský literární svět: kontexty a konfrontace IV</t>
  </si>
  <si>
    <t>Odehnalová, Lenka;Danielová, Anna;Dąbrowska, Katarzyna;Krajanová, Kristína;Michálková, Světlana;Poledníková, Markéta;Radimáková, Kristína;Markoš, Martin;Tollarovič, Peter</t>
  </si>
  <si>
    <t>https://ebookcentral.proquest.com/lib/iuavit/detail.action?docID=6913525</t>
  </si>
  <si>
    <t>Nedělní pedagogické krasořeči : O obratech a vyvažování ve výchově a vzdělávání</t>
  </si>
  <si>
    <t>Janík, Tomáš</t>
  </si>
  <si>
    <t>https://ebookcentral.proquest.com/lib/iuavit/detail.action?docID=6913526</t>
  </si>
  <si>
    <t>Příležitosti k rozvíjení autonomie žáka v hodinách anglického jazyka</t>
  </si>
  <si>
    <t>Chválová, Marie</t>
  </si>
  <si>
    <t>https://ebookcentral.proquest.com/lib/iuavit/detail.action?docID=6913527</t>
  </si>
  <si>
    <t>Somatopedické simulační techniky a intervence : Metodické texty k projektu MUNI 4.0. Pedagogická fakulta, studijní program Logopedie (Bc.)</t>
  </si>
  <si>
    <t>Opatřilová, Dagmar</t>
  </si>
  <si>
    <t>https://ebookcentral.proquest.com/lib/iuavit/detail.action?docID=6913528</t>
  </si>
  <si>
    <t>Speciálněpedagogická diagnostika somatopedická : Metodické texty k projektu MUNI 4.0. Pedagogická fakulta, studijní program Logopedie (Bc.)</t>
  </si>
  <si>
    <t>https://ebookcentral.proquest.com/lib/iuavit/detail.action?docID=6913529</t>
  </si>
  <si>
    <t>Personální marketing v řízení lidských zdrojů</t>
  </si>
  <si>
    <t>Myslivcová, Světlana</t>
  </si>
  <si>
    <t>https://ebookcentral.proquest.com/lib/iuavit/detail.action?docID=6913530</t>
  </si>
  <si>
    <t>Rozhodni se! aneb životním stylem ke zdraví : Metodický materiál k výuce prevence onkologických a dalších chronických neinfekčních chorob pro 2. stupeň ZŠ</t>
  </si>
  <si>
    <t>Smejkalová, Zdeňka;Slaná, Jitka</t>
  </si>
  <si>
    <t>https://ebookcentral.proquest.com/lib/iuavit/detail.action?docID=6913531</t>
  </si>
  <si>
    <t>Proč školství a jeho aktéři selhávají : Kognitivní krajiny a nacionalismus</t>
  </si>
  <si>
    <t>Šíp, Radim</t>
  </si>
  <si>
    <t>https://ebookcentral.proquest.com/lib/iuavit/detail.action?docID=6913532</t>
  </si>
  <si>
    <t>Tradiční rodina v Číně</t>
  </si>
  <si>
    <t>Dosedlová, Aneta;Hegerová, Terézia;Krajcová, Pavla;Mašková, Kateřina;Mydliarová, Lucia;Russeová, Zuzana;Samoylova, Nataliya;Shejbalová, Zuzana</t>
  </si>
  <si>
    <t>https://ebookcentral.proquest.com/lib/iuavit/detail.action?docID=6913533</t>
  </si>
  <si>
    <t>XI. studentská vědecká konference Katedry českého jazyka a literatury : 14. března 2019</t>
  </si>
  <si>
    <t>Nováková, Ester;Pechník, Ondřej;Žvaková, Kateřina;Zouharová, Pavlína;Ošmera, Radim;Tinková, Veronika;Šimková, Věra;Jindra, Miroslav;Tesařová, Kateřina</t>
  </si>
  <si>
    <t>https://ebookcentral.proquest.com/lib/iuavit/detail.action?docID=6913534</t>
  </si>
  <si>
    <t>Variabilita sinic v elektronovém mikroskopu</t>
  </si>
  <si>
    <t>Šmarda, Jan</t>
  </si>
  <si>
    <t>https://ebookcentral.proquest.com/lib/iuavit/detail.action?docID=6913535</t>
  </si>
  <si>
    <t>13. mezinárodní vědecká konference Didaktická konference 2019 : Sborník příspěvků</t>
  </si>
  <si>
    <t>Válek, Jan;Marinič, Peter</t>
  </si>
  <si>
    <t>https://ebookcentral.proquest.com/lib/iuavit/detail.action?docID=6913536</t>
  </si>
  <si>
    <t>Focus on: INSIDE / OUTSIDE</t>
  </si>
  <si>
    <t>Stehlíková, Hana;Horáček, Radek;Kamenický, Petr;Nedomová, Jana;Ovčáčková, Jana</t>
  </si>
  <si>
    <t>https://ebookcentral.proquest.com/lib/iuavit/detail.action?docID=6913537</t>
  </si>
  <si>
    <t>(Geo)Demografie nejen pro ekonomy</t>
  </si>
  <si>
    <t>Kunc, Josef;Jaňurová, Martina;Krajíčková, Aneta;Tonev, Petr;Toušek, Václav</t>
  </si>
  <si>
    <t>https://ebookcentral.proquest.com/lib/iuavit/detail.action?docID=6913538</t>
  </si>
  <si>
    <t>EdTech KISK: Studijní profilace Technologie ve vzdělávání</t>
  </si>
  <si>
    <t>Černý, Michal;Tulinská, Hana</t>
  </si>
  <si>
    <t>https://ebookcentral.proquest.com/lib/iuavit/detail.action?docID=6913539</t>
  </si>
  <si>
    <t>Profesionální pomáhání : Rozhovory napříč pomáhajícími profesemi</t>
  </si>
  <si>
    <t>Švec, Vlastimil</t>
  </si>
  <si>
    <t>https://ebookcentral.proquest.com/lib/iuavit/detail.action?docID=6913540</t>
  </si>
  <si>
    <t>Life in Health 2019: Research and Practice : Proceedings of the International Conference held on 5–6 September 2019</t>
  </si>
  <si>
    <t>Holinková, Markéta;Adámková, Lenka;Řehulková, Hana;Kachlík, Petr;Válková, Hana;Šeráková, Hana;Skotáková, Alena;Maleňáková, Šárka;Valkounová, Eva;Žákovská, Alena</t>
  </si>
  <si>
    <t>https://ebookcentral.proquest.com/lib/iuavit/detail.action?docID=6913541</t>
  </si>
  <si>
    <t>Muzejní profese a veřejnost 2 : Reflexe edukačního fenoménu v současné muzejní praxi</t>
  </si>
  <si>
    <t>Jagošová, Lucie;Kirsch, Otakar;Holubová, Zuzana;Kučera, Tomáš;Kyselá, Monika;Mažárová, Monika;Mertová, Mertová;Mrázová, Lenka;Ostřanská, Ivana;Palárik, Miroslav</t>
  </si>
  <si>
    <t>https://ebookcentral.proquest.com/lib/iuavit/detail.action?docID=6913542</t>
  </si>
  <si>
    <t>Psychologie práce a organizace 2019</t>
  </si>
  <si>
    <t>Procházka, Jakub;Kratochvíl, Tomáš;Vaculík, Martin</t>
  </si>
  <si>
    <t>https://ebookcentral.proquest.com/lib/iuavit/detail.action?docID=6913543</t>
  </si>
  <si>
    <t>Exploring and explaining participation in local opposition: brown coal mining in Horní Jiřetín</t>
  </si>
  <si>
    <t>Černoch, Filip;Lehotský, Lukáš;Ocelík, Petr;Osička, Jan</t>
  </si>
  <si>
    <t>https://ebookcentral.proquest.com/lib/iuavit/detail.action?docID=6913544</t>
  </si>
  <si>
    <t>Outdoor Education in Geography: A Specific Educational Strategy</t>
  </si>
  <si>
    <t>Svobodová, Hana</t>
  </si>
  <si>
    <t>https://ebookcentral.proquest.com/lib/iuavit/detail.action?docID=6913545</t>
  </si>
  <si>
    <t>Podpora vedení studentů na praxi v mateřské škole</t>
  </si>
  <si>
    <t>Syslová, Zora;Grůzová, Lucie;Štěpánková, Lucie</t>
  </si>
  <si>
    <t>https://ebookcentral.proquest.com/lib/iuavit/detail.action?docID=6913546</t>
  </si>
  <si>
    <t>Lidová píseň v hudební výchově na základních a středních školách v České republice</t>
  </si>
  <si>
    <t>Kučerová, Judita;Sedláček, Marek;Chloupek, Tomáš;Křiváková, Vilma;Musil, Ondřej;Ostrý, Pavel;Ottová, Markéta;Rafailov, Kristina</t>
  </si>
  <si>
    <t>https://ebookcentral.proquest.com/lib/iuavit/detail.action?docID=6913547</t>
  </si>
  <si>
    <t>Česká problémová dramatika šedesátých let 20. století</t>
  </si>
  <si>
    <t>Kroča, David</t>
  </si>
  <si>
    <t>https://ebookcentral.proquest.com/lib/iuavit/detail.action?docID=6913548</t>
  </si>
  <si>
    <t>Cytologický a embryologický atlas</t>
  </si>
  <si>
    <t>Vaňhara, Petr;Dumková, Jana</t>
  </si>
  <si>
    <t>https://ebookcentral.proquest.com/lib/iuavit/detail.action?docID=6913549</t>
  </si>
  <si>
    <t>Výzkum v didaktice cizích jazyků II</t>
  </si>
  <si>
    <t>Janíková, Věra;Hanušová, Světlana;Jelínková, Jaroslava;Nerušilová, Terezie;Kousalová, Barbora;Langerová, Petra;Bumbálková, Eva;Delalande, Hana;Krejčí, Janina;Lahodová, Marie</t>
  </si>
  <si>
    <t>https://ebookcentral.proquest.com/lib/iuavit/detail.action?docID=6913550</t>
  </si>
  <si>
    <t>Repetitorium onemocnění sliznice ústní dutiny</t>
  </si>
  <si>
    <t>Izakovičová, Lydie;Fassmann, Antonín;Poskerová, Hana;Bořilová, Petra;Daněk, Zdeněk</t>
  </si>
  <si>
    <t>https://ebookcentral.proquest.com/lib/iuavit/detail.action?docID=6913551</t>
  </si>
  <si>
    <t>Prostor a jeho obývání : Zobrazení prostoru v díle Marie Noëlové, Suzanne Renaudové, Christiane Singerové a Sylvie Germainové</t>
  </si>
  <si>
    <t>Bakešová, Václava</t>
  </si>
  <si>
    <t>https://ebookcentral.proquest.com/lib/iuavit/detail.action?docID=6913552</t>
  </si>
  <si>
    <t>The preschool teacher as a reflective practitioner</t>
  </si>
  <si>
    <t>Syslová, Zora</t>
  </si>
  <si>
    <t>https://ebookcentral.proquest.com/lib/iuavit/detail.action?docID=6913553</t>
  </si>
  <si>
    <t>University textbook on oral mucosal diseases</t>
  </si>
  <si>
    <t>Izakovičová, Lydie;Fassmann, Antonín;Poskerová, Hana;Bořilová Linhartová, Petra;Daněk, Zdeněk</t>
  </si>
  <si>
    <t>https://ebookcentral.proquest.com/lib/iuavit/detail.action?docID=6913554</t>
  </si>
  <si>
    <t>Směřování ke kvalitě 2016–2020 v pedagogicko-psychologické přípravě budoucích učitelů na PdF MU</t>
  </si>
  <si>
    <t>Kratochvílová, Jana;Lojdová, Kateřina;Nehyba, Jan</t>
  </si>
  <si>
    <t>https://ebookcentral.proquest.com/lib/iuavit/detail.action?docID=6913555</t>
  </si>
  <si>
    <t>Kleines derivationelles Valenzlexikon zu einigen zentralen Valenzträgern im Deutschen und Tschechischen : Versuch einer kategorienübergreifenden Erfassung der Valenzrealisierung</t>
  </si>
  <si>
    <t>Muzikant, Mojmír;Wagner, Roland</t>
  </si>
  <si>
    <t>https://ebookcentral.proquest.com/lib/iuavit/detail.action?docID=6913556</t>
  </si>
  <si>
    <t>Nerovný vývoj světa a rozvojová teorie</t>
  </si>
  <si>
    <t>Navrátilová, Alice</t>
  </si>
  <si>
    <t>https://ebookcentral.proquest.com/lib/iuavit/detail.action?docID=6913557</t>
  </si>
  <si>
    <t>Proces fúzí obchodních společností v právních, účetních a daňových souvislostech</t>
  </si>
  <si>
    <t>Sedláček, Jaroslav;Hýblová, Eva;Konečný, Alois;Křížová, Zuzana;Valouch, Petr</t>
  </si>
  <si>
    <t>https://ebookcentral.proquest.com/lib/iuavit/detail.action?docID=6913558</t>
  </si>
  <si>
    <t>Standard kvality profesních kompetencí studenta učitelství</t>
  </si>
  <si>
    <t>Kratochvílová, Jana;Svojanovský, Petr;Dobrovolná, Alena;Dvořáková, Blanka;Fialková, Johana;Grycová, Martina;Horká, Hana;Kuchaříková, Marta;Novotná, Olga;Prachařová, Hana</t>
  </si>
  <si>
    <t>https://ebookcentral.proquest.com/lib/iuavit/detail.action?docID=6913559</t>
  </si>
  <si>
    <t>Speciálněpedagogická diagnostika oftalmopedická : Metodické texty k projektu MUNI 4.0. Pedagogická fakulta, studijní program Logopedie (Bc.)</t>
  </si>
  <si>
    <t>Röderová, Petra</t>
  </si>
  <si>
    <t>https://ebookcentral.proquest.com/lib/iuavit/detail.action?docID=6913560</t>
  </si>
  <si>
    <t>Leading Learning Networks in Education : Theoretical Framework and School Leaders’ Perspectives across Europe</t>
  </si>
  <si>
    <t>Lazarová, Bohumíra;Pol, Milan;Lelieur, Ruud;Schelfhout, Wouter;Vanhoof, Jan;Vanlommel, Kristin;Brejc, Mateja;Erčulj, Justina;Hortlund, Torbjörn;Malmberg, Kristina</t>
  </si>
  <si>
    <t>https://ebookcentral.proquest.com/lib/iuavit/detail.action?docID=6913561</t>
  </si>
  <si>
    <t>Simulační techniky oftalmopedické : Metodické texty k projektu MUNI 4.0. Pedagogická fakulta, studijní program Logopedie (Bc.)</t>
  </si>
  <si>
    <t>Vrubel, Martin</t>
  </si>
  <si>
    <t>https://ebookcentral.proquest.com/lib/iuavit/detail.action?docID=6913562</t>
  </si>
  <si>
    <t>Venkovský cestovní ruch : Aktuální témata cestovního ruchu</t>
  </si>
  <si>
    <t>Šíp, Jiří</t>
  </si>
  <si>
    <t>https://ebookcentral.proquest.com/lib/iuavit/detail.action?docID=6913563</t>
  </si>
  <si>
    <t>Možnosti zvyšování efektivnosti veřejného sektoru v podmínkách krize veřejných financí II</t>
  </si>
  <si>
    <t>Malý, Ivan;Nemec, Juraj;Krůtilová, Veronika;Čižmárik, Pavol;Pompura, Ladislav</t>
  </si>
  <si>
    <t>https://ebookcentral.proquest.com/lib/iuavit/detail.action?docID=6913564</t>
  </si>
  <si>
    <t>Speciálněpedagogická diagnostika surdopedická : Metodické texty k projektu MUNI 4.0. Pedagogická fakulta, studijní program Logopedie (Bc.)</t>
  </si>
  <si>
    <t>Doležalová, Lenka;Horáková, Radka</t>
  </si>
  <si>
    <t>https://ebookcentral.proquest.com/lib/iuavit/detail.action?docID=6913565</t>
  </si>
  <si>
    <t>Komunikační a simulační techniky logopedické : Metodické texty k projektu MUNI 4.0. Pedagogická fakulta, studijní program Logopedie (Bc.)</t>
  </si>
  <si>
    <t>Kopečný, Petr;Chleboradová, Barbora</t>
  </si>
  <si>
    <t>https://ebookcentral.proquest.com/lib/iuavit/detail.action?docID=6913566</t>
  </si>
  <si>
    <t>Sto tváří, sto příběhů : Vybrané osobnosti v dějinách Filozofické fakulty Masarykovy univerzity</t>
  </si>
  <si>
    <t>Fasora, Lukáš;Čermin, Jan;Čerminová, Jana;Hanuš, Jiří;Máliková, Michaela</t>
  </si>
  <si>
    <t>https://ebookcentral.proquest.com/lib/iuavit/detail.action?docID=6913567</t>
  </si>
  <si>
    <t>Tomáškovy dny 2020 : XXIX. konference mladých mikrobiologů</t>
  </si>
  <si>
    <t>Vacek, Lukáš</t>
  </si>
  <si>
    <t>https://ebookcentral.proquest.com/lib/iuavit/detail.action?docID=6913568</t>
  </si>
  <si>
    <t>Komunikace osob s duálním smyslovým postižením : Metodické texty k projektu MUNI 4.0. Pedagogická fakulta, studijní program Logopedie (Bc.)</t>
  </si>
  <si>
    <t>Horáková, Radka</t>
  </si>
  <si>
    <t>https://ebookcentral.proquest.com/lib/iuavit/detail.action?docID=6913569</t>
  </si>
  <si>
    <t>Diverzifikace předškolního vzdělávání v ČR</t>
  </si>
  <si>
    <t>Jarkovská, Lucie;Kampichler, Martina;Slezáková, Katarína</t>
  </si>
  <si>
    <t>https://ebookcentral.proquest.com/lib/iuavit/detail.action?docID=6913570</t>
  </si>
  <si>
    <t>Proceedings of the 12th International Conference on Kinanthropology : Sport and Quality of Life. 7. – 9. 11. 2019</t>
  </si>
  <si>
    <t>Cacek, Jan;Sajdlová, Zuzana;Šimková, Katarína;Ban, Maja;Đurković, Tomislav;Marelić, Nenad;Zekić, Robert;Hedbávný, Petr;Kalichová, Miriam;Rabenseifner, Michal</t>
  </si>
  <si>
    <t>https://ebookcentral.proquest.com/lib/iuavit/detail.action?docID=6913571</t>
  </si>
  <si>
    <t>Otázky neolitu a eneolitu. 39. ročník. Brno, 9.–11. 9. 2020 : Sborník abstraktů</t>
  </si>
  <si>
    <t>Malíšková, Johana;Tóth, Peter</t>
  </si>
  <si>
    <t>https://ebookcentral.proquest.com/lib/iuavit/detail.action?docID=6913572</t>
  </si>
  <si>
    <t>Moravský kras a okolí / Moravian Karst and its Environs : Atlas pro terénní výuku a outdoorové aktivity / Atlas for field work and outdoor activities</t>
  </si>
  <si>
    <t>Balák, Ivan;Hofmann, Eduard;Svobodová, Hana;Durna, Radek;Kolejka, Jaromír</t>
  </si>
  <si>
    <t>https://ebookcentral.proquest.com/lib/iuavit/detail.action?docID=6913573</t>
  </si>
  <si>
    <t>Proměny Brněnského varhanního festivalu</t>
  </si>
  <si>
    <t>Kučerová, Judita;Bartošová, Hana;Veselá, Alena;Bejček, Jan;Sedláček, Marek</t>
  </si>
  <si>
    <t>https://ebookcentral.proquest.com/lib/iuavit/detail.action?docID=6913574</t>
  </si>
  <si>
    <t>We’re Not Afraid of Cancer or Prevention as a Doorway to Health : Oncological Prevention Methology for Lower Secondary Schools</t>
  </si>
  <si>
    <t>Slaná, Jitka;Smejkalová, Zdeňka</t>
  </si>
  <si>
    <t>https://ebookcentral.proquest.com/lib/iuavit/detail.action?docID=6913575</t>
  </si>
  <si>
    <t>Speciálněpedagogická diagnostika logopedická : Metodické texty k projektu MUNI 4.0. Pedagogická fakulta, studijní program Logopedie (Bc.)</t>
  </si>
  <si>
    <t>Chleboradová, Barbora;Kopečný, Petr</t>
  </si>
  <si>
    <t>https://ebookcentral.proquest.com/lib/iuavit/detail.action?docID=6913576</t>
  </si>
  <si>
    <t>Výkonnost podniku v kontextu spokojenosti zákazníka, zpětných toků, kvality, inovací a znalostí</t>
  </si>
  <si>
    <t>Klapalová, Alena;Suchánek, Petr;Škapa, Radoslav</t>
  </si>
  <si>
    <t>https://ebookcentral.proquest.com/lib/iuavit/detail.action?docID=6913577</t>
  </si>
  <si>
    <t>Řízení třídy: studenti učitelství a jejich provázející učitelé</t>
  </si>
  <si>
    <t>Vlčková, Kateřina;Lojdová, Kateřina;Lukas, Josef;Mareš, Jan;Škarková, Lucie;Kohoutek, Tomáš;Květon, Petr;Ježek, Stanislav</t>
  </si>
  <si>
    <t>https://ebookcentral.proquest.com/lib/iuavit/detail.action?docID=6913578</t>
  </si>
  <si>
    <t>Guide to General Histology and Microscopic Anatomy</t>
  </si>
  <si>
    <t>Vaňhara, Petr;Sedláčková, Miroslava;Lauschová, Irena;Čech, Svatopluk;Hampl, Aleš</t>
  </si>
  <si>
    <t>https://ebookcentral.proquest.com/lib/iuavit/detail.action?docID=6913579</t>
  </si>
  <si>
    <t>Alternativní a augmentativní komunikace : Metodické texty k projektu MUNI 4.0. Pedagogická fakulta, studijní program Logopedie (Bc.)</t>
  </si>
  <si>
    <t>Chleboradová, Barbora</t>
  </si>
  <si>
    <t>https://ebookcentral.proquest.com/lib/iuavit/detail.action?docID=6913580</t>
  </si>
  <si>
    <t>Speciálněpedagogická diagnostika a intervence u žáků se specifickými poruchami učení : Metodické texty k projektu MUNI 4.0. Pedagogická fakulta, studijní program Logopedie (Bc.)</t>
  </si>
  <si>
    <t>Bartoňová, Miroslava</t>
  </si>
  <si>
    <t>https://ebookcentral.proquest.com/lib/iuavit/detail.action?docID=6913581</t>
  </si>
  <si>
    <t>Komunikační a simulační techniky surdopedické : Metodické texty k projektu MUNI 4.0. Pedagogická fakulta, studijní program Logopedie (Bc.)</t>
  </si>
  <si>
    <t>https://ebookcentral.proquest.com/lib/iuavit/detail.action?docID=6913582</t>
  </si>
  <si>
    <t>100 let R. U. R. : Sborník z konference na Pedagogické fakultě Masarykovy univerzity v Brně, 11. září 2019</t>
  </si>
  <si>
    <t>Jemelka, Petr;Lesňák, Slavomír;Drozenová, Wendy;Krob, Josef;Odorčák, Juraj;Pavličíková, Helena;Siegel, Lukáš;Štěrba, Radim;Vonková, Erika;Zichová, Jana</t>
  </si>
  <si>
    <t>Engineering: Electrical; Social Science</t>
  </si>
  <si>
    <t>https://ebookcentral.proquest.com/lib/iuavit/detail.action?docID=6913583</t>
  </si>
  <si>
    <t>XII. studentská vědecká konference Katedry českého jazyka a literatury : 8. října 2020</t>
  </si>
  <si>
    <t>Nováková, Ester;Zabloudil, Ondřej;Oujezdský, Jan;Kytlicová, Andrea;Ošmera, Radim;Křížková, Lucie;Jindra, Miroslav</t>
  </si>
  <si>
    <t>https://ebookcentral.proquest.com/lib/iuavit/detail.action?docID=6913584</t>
  </si>
  <si>
    <t>Kariérová adaptabilita : Její podoby, proměny, souvislosti a role v životě mladých dospělých procházejících středním odborným vzděláváním</t>
  </si>
  <si>
    <t>Hlaďo, Petr;Kvasková, Lucia;Hloušková, Lenka;Lazarová, Bohumíra;Ježek, Stanislav;Juhaňák, Libor;Macek, Petr;Daňsová, Petra;Gottfried, Jaroslav;Palíšek, Petr</t>
  </si>
  <si>
    <t>Psychology; Education</t>
  </si>
  <si>
    <t>https://ebookcentral.proquest.com/lib/iuavit/detail.action?docID=6913585</t>
  </si>
  <si>
    <t>(Teaching) Regional Geography : Proceedings of 27th Central European Conference. 17th October 2019, Brno</t>
  </si>
  <si>
    <t>Mísařová, Darina;Petráková, Jana;Dostál, Ivo;Anděl, Petr;Havlíček, Marek;Petrovič, František;Drápela, Emil;Hamáček, Jaromír;Frličková, Barbora;Hermann, Lukáš</t>
  </si>
  <si>
    <t>https://ebookcentral.proquest.com/lib/iuavit/detail.action?docID=6913586</t>
  </si>
  <si>
    <t>Mladá slavistika V : Slavistická badatelská dílna</t>
  </si>
  <si>
    <t>Michálek, Zbyněk;Odehnalová, Lenka;Šaur, Josef;Demelová, Jana;Dupalová, Zuzana;Jiráňová, Eliška;Kolářová, Kateřina;Michálková, Světlana;Vaverková, Isabela;Velšová, Karolína</t>
  </si>
  <si>
    <t>https://ebookcentral.proquest.com/lib/iuavit/detail.action?docID=6913587</t>
  </si>
  <si>
    <t>Cesty horním Kurveleshem v čase a prostoru</t>
  </si>
  <si>
    <t>Klontza-Jaklová, Věra;Geisler, Adam;Hlavica, Michal;Klontzas, Manolis;Krofta, Tomáš;Pavloň, Tomáš;Navrátilová, Iveta;Dobra, Robert;Ludva, Jaroslav</t>
  </si>
  <si>
    <t>https://ebookcentral.proquest.com/lib/iuavit/detail.action?docID=6913588</t>
  </si>
  <si>
    <t>Nástroje pro přechod na oběhové hospodářství : Informační, motivační a dobrovolné nástroje pro obce a občany</t>
  </si>
  <si>
    <t>Tóthová, Dominika;Soukopová, Jana;Dvořáková, Michaela;Bedřichová, Zuzana;Čurda, Stanislav;Struk, Michal</t>
  </si>
  <si>
    <t>https://ebookcentral.proquest.com/lib/iuavit/detail.action?docID=6913589</t>
  </si>
  <si>
    <t>Kontrahovanie služieb vo verejnom sektore – skúsenosti v Slovenskej a Českej republike</t>
  </si>
  <si>
    <t>Mikušová, Beáta</t>
  </si>
  <si>
    <t>https://ebookcentral.proquest.com/lib/iuavit/detail.action?docID=6913590</t>
  </si>
  <si>
    <t>Freedom in the Mirror of University History : Commemorating the 100th anniversary of the founding of Masaryk University and dedicated to all the authors in its history who were silenced</t>
  </si>
  <si>
    <t>Mizerová, Alena;Novotná, Lea;Vyskočilová, Radka;Gomola, Radek</t>
  </si>
  <si>
    <t>https://ebookcentral.proquest.com/lib/iuavit/detail.action?docID=6913591</t>
  </si>
  <si>
    <t>Uměním tě proměním : Výtvarné činnosti a jejich přínos preprimárnímu vzdělávání</t>
  </si>
  <si>
    <t>Stadlerová, Hana;Novotná, Pavla;Ovčáčková, Jana;Sommerová, Milada;Strouhalová, Magda</t>
  </si>
  <si>
    <t>Fine Arts; Education</t>
  </si>
  <si>
    <t>https://ebookcentral.proquest.com/lib/iuavit/detail.action?docID=6913592</t>
  </si>
  <si>
    <t>Mýty – omyly – nepravdy : O „chibách“ ve vzdělávání a pedagogice</t>
  </si>
  <si>
    <t>Janík, Tomáš;Dammer, Karl-Heinz;Gonon, Philipp;Grunder, Hans-Ulrich;Haag, Ludwig;Knoll, Michael;Terhart, Ewald</t>
  </si>
  <si>
    <t>https://ebookcentral.proquest.com/lib/iuavit/detail.action?docID=6913593</t>
  </si>
  <si>
    <t>Real World Learning in Outdoor Environmental Education Programs : The Practice from the Perspective of Educational Research</t>
  </si>
  <si>
    <t>Činčera, Jan;Činčera, Jan;Johnson, Bruce;Kroufek, Roman;Kolenatý, Miloslav;Šimonová, Petra;Zálešák, Jan</t>
  </si>
  <si>
    <t>https://ebookcentral.proquest.com/lib/iuavit/detail.action?docID=6913594</t>
  </si>
  <si>
    <t>Typo Poster : Traditional Medium of Communication in Epoch of Advanced Digital Technologies</t>
  </si>
  <si>
    <t>Noga, Pavel</t>
  </si>
  <si>
    <t>https://ebookcentral.proquest.com/lib/iuavit/detail.action?docID=6913595</t>
  </si>
  <si>
    <t>Idea univerzity z české perspektivy : Rozhovory s Jiřím Hanušem</t>
  </si>
  <si>
    <t>Hanuš, Jiří;Balík, Stanislav;Dvořák, Petr;Fiala, Petr;Floss, Pavel;Horák, Petr;Jirsa, Jakub;Lach, Jiří;Macháček, Jiří;Machula, Tomáš</t>
  </si>
  <si>
    <t>https://ebookcentral.proquest.com/lib/iuavit/detail.action?docID=6913596</t>
  </si>
  <si>
    <t>Functional Plurality of Language in Contextualised Discourse : Eighth Brno Conference on Linguistics Studies in English. Conference Proceedings. Brno, 12–13 September 2019</t>
  </si>
  <si>
    <t>Headlandová, Irena;Němec, Martin;Gumbaridze, Zhuzhuna;Gvarishvili, Zeinab;Hastrdlová, Šárka;Huschová, Petra;Hüttner, Julia;Lahodová, Marie;Lapina, Evgeniia;Malá, Markéta</t>
  </si>
  <si>
    <t>https://ebookcentral.proquest.com/lib/iuavit/detail.action?docID=6913597</t>
  </si>
  <si>
    <t>Úvod do ekologické problematiky</t>
  </si>
  <si>
    <t>Jemelka, Petr</t>
  </si>
  <si>
    <t>https://ebookcentral.proquest.com/lib/iuavit/detail.action?docID=6913598</t>
  </si>
  <si>
    <t>Current issues of the Russian language teaching XIV</t>
  </si>
  <si>
    <t>Koryčánková, Simona;Sokolova, Anastasija;Dohnal, Josef;Figedyová, Marianna;Iermachkova, Olga;Chválová, Katarína;Kolosova, Elena;Krejčí, Janina;Půža, Miroslav;Savchenko, Tatiana</t>
  </si>
  <si>
    <t>https://ebookcentral.proquest.com/lib/iuavit/detail.action?docID=6913599</t>
  </si>
  <si>
    <t>Pohybová aktivita jako účinný prostředek nefarmakologické péče v onkologii</t>
  </si>
  <si>
    <t>Kapounková, Kateřina;Hrnčiříková, Iva;Svobodová, Zora;Crhová, Marie;Struhár, Ivan;Malá, Alexandra;Šperková, Martina;Halámková, Jana;Burešová, Iva;Hadrabová, Markéta</t>
  </si>
  <si>
    <t>https://ebookcentral.proquest.com/lib/iuavit/detail.action?docID=6913600</t>
  </si>
  <si>
    <t>64. studentská vědecká konference : Program a sborník abstraktů</t>
  </si>
  <si>
    <t>https://ebookcentral.proquest.com/lib/iuavit/detail.action?docID=6913601</t>
  </si>
  <si>
    <t>Análisis de errores en la interlengua de aprendices de ELE universitarios checos y eslovacos</t>
  </si>
  <si>
    <t>Rodríguez, Cristina</t>
  </si>
  <si>
    <t>https://ebookcentral.proquest.com/lib/iuavit/detail.action?docID=6913602</t>
  </si>
  <si>
    <t>The Attitudes of Elementary School Teachers to Eating Disorders</t>
  </si>
  <si>
    <t>Adámková, Lenka</t>
  </si>
  <si>
    <t>https://ebookcentral.proquest.com/lib/iuavit/detail.action?docID=6913603</t>
  </si>
  <si>
    <t>Subjektivní teorie a jednání učitelů: vícečetná případová studie v kontextu profesního rozvoje učitelů</t>
  </si>
  <si>
    <t>Koubek, Petr</t>
  </si>
  <si>
    <t>https://ebookcentral.proquest.com/lib/iuavit/detail.action?docID=6913604</t>
  </si>
  <si>
    <t>Konstrukční úlohy : Učební text pro studenty učitelství matematiky 2. stupně základní školy</t>
  </si>
  <si>
    <t>Budínová, Irena;Pavlíčková, Lenka</t>
  </si>
  <si>
    <t>https://ebookcentral.proquest.com/lib/iuavit/detail.action?docID=6913605</t>
  </si>
  <si>
    <t>Výzkum v didaktice cizích jazyků III</t>
  </si>
  <si>
    <t>Janíková, Věra;Hanušová, Světlana;Atcheson, Hana;Jelínková, Jaroslava;Kousalová, Barbora;Krahulec, Ondřej;Langerová, Petra;Stanislavová, Veronika;Šindelářová, Martina</t>
  </si>
  <si>
    <t>https://ebookcentral.proquest.com/lib/iuavit/detail.action?docID=6913606</t>
  </si>
  <si>
    <t>Efektivní vyučování v heterogenní třídě se zřetelem na metody a učební strategie</t>
  </si>
  <si>
    <t>Bartoňová, Miroslava;Vítková, Marie</t>
  </si>
  <si>
    <t>https://ebookcentral.proquest.com/lib/iuavit/detail.action?docID=6913607</t>
  </si>
  <si>
    <t>Inkluzivní didaktika v praxi základní školy : Teorie, výzkum a praxe</t>
  </si>
  <si>
    <t>Bartoňová, Miroslava;Sedláčková, Alena;Vítková, Marie</t>
  </si>
  <si>
    <t>https://ebookcentral.proquest.com/lib/iuavit/detail.action?docID=6913608</t>
  </si>
  <si>
    <t>Edukace žáků se speciálními vzdělávacími potřebami v českém jazyce a literatuře – zaměření na žáky s SPU a zdravotním znevýhodněním : Metodická příručka</t>
  </si>
  <si>
    <t>Klímová, Květoslava;Zítková, Jitka</t>
  </si>
  <si>
    <t>https://ebookcentral.proquest.com/lib/iuavit/detail.action?docID=6913609</t>
  </si>
  <si>
    <t>Logbook pro doktorský studijní program Speciální pedagogika</t>
  </si>
  <si>
    <t>Vrubel, Martin;Pančocha, Karel;Vojtová, Věra;Vítková, Marie</t>
  </si>
  <si>
    <t>https://ebookcentral.proquest.com/lib/iuavit/detail.action?docID=6913610</t>
  </si>
  <si>
    <t>Logbook for Special Edication doctoral program</t>
  </si>
  <si>
    <t>https://ebookcentral.proquest.com/lib/iuavit/detail.action?docID=6913611</t>
  </si>
  <si>
    <t>Metodika práce s třídním kolektivem v inkluzivní třídě se zaměřením na žáky s narušenou komunikační schopností : Metodická příručka</t>
  </si>
  <si>
    <t>https://ebookcentral.proquest.com/lib/iuavit/detail.action?docID=6913612</t>
  </si>
  <si>
    <t>Metodika práce s třídním kolektivem v inkluzivní třídě se zaměřením na žáky se zrakovým postižením : Metodická příručka</t>
  </si>
  <si>
    <t>Röderová, Petra;Pavlovská, Marie;Vrubel, Martin</t>
  </si>
  <si>
    <t>https://ebookcentral.proquest.com/lib/iuavit/detail.action?docID=6913613</t>
  </si>
  <si>
    <t>Metodika práce s třídním kolektivem v inkluzivní třídě se zaměřením na žáky s epilepsií : Metodická příručka</t>
  </si>
  <si>
    <t>Fialová, Ilona</t>
  </si>
  <si>
    <t>https://ebookcentral.proquest.com/lib/iuavit/detail.action?docID=6913614</t>
  </si>
  <si>
    <t>Dobrodružství historické interpretace</t>
  </si>
  <si>
    <t>Hanuš, Jiří;Suk, Jiří;Klápště, Jan;Bůžek, Václav;Malý, Tomáš;Tinková, Daniela;Švaříčková, Radmila;Křížová, Markéta;Balík, Stanislav;Fasora, Lukáš</t>
  </si>
  <si>
    <t>https://ebookcentral.proquest.com/lib/iuavit/detail.action?docID=6913615</t>
  </si>
  <si>
    <t>Student Scientific Conference MUNI Pharm 2021 : The Book of Abstracts</t>
  </si>
  <si>
    <t>Bobáľ, Pavel;Mokrý, Petr;Lamaczová, Adéla;Bryja, Václav;Poláková, Martina;Robošová, Lucie;Dupľáková, Miriama;Jurčová, Nikol;Crha, Tomáš;Žáčková, Radka</t>
  </si>
  <si>
    <t>Pharmacy</t>
  </si>
  <si>
    <t>https://ebookcentral.proquest.com/lib/iuavit/detail.action?docID=6913616</t>
  </si>
  <si>
    <t>Tomáškovy dny 2021 : XXX. konference mladých mikrobiologů</t>
  </si>
  <si>
    <t>Vacek, Lukáš;Kleknerová, Dominika</t>
  </si>
  <si>
    <t>https://ebookcentral.proquest.com/lib/iuavit/detail.action?docID=6913617</t>
  </si>
  <si>
    <t>XXIV. mezinárodní kolokvium o regionálních vědách : Sborník příspěvků</t>
  </si>
  <si>
    <t>Klímová, Viktorie;Žítek, Vladimír;Lelková, Tereza;Halásková, Martina;Rokita-Poskart, Diana;Štrangfeldová, Jana;Mališová, Daniela;Belvončíková, Eva;Hrivnák, Michal;Moritz, Peter</t>
  </si>
  <si>
    <t>Geography/Travel; Economics</t>
  </si>
  <si>
    <t>https://ebookcentral.proquest.com/lib/iuavit/detail.action?docID=6913618</t>
  </si>
  <si>
    <t>Building University Schools in Teacher Education Programmes : Guidelines and Suggestions</t>
  </si>
  <si>
    <t>Lazarová, Bohumíra;Pol, Milan;Moškvan, Vladimír;Gerholz, Karl-Heinz;Neubauer, Jörg;Reinke, Hannes;Wagner, Anne;Marko, Nils;Seitle, Johannes;Wilbers, Karl</t>
  </si>
  <si>
    <t>https://ebookcentral.proquest.com/lib/iuavit/detail.action?docID=6913619</t>
  </si>
  <si>
    <t>Výslovnost ve výuce německého jazyka na ZŠ</t>
  </si>
  <si>
    <t>Čeřovská, Martina</t>
  </si>
  <si>
    <t>https://ebookcentral.proquest.com/lib/iuavit/detail.action?docID=6913620</t>
  </si>
  <si>
    <t>Jak měřit metakognici (nejen) u nadaných dětí</t>
  </si>
  <si>
    <t>Straka, Ondřej</t>
  </si>
  <si>
    <t>https://ebookcentral.proquest.com/lib/iuavit/detail.action?docID=6913621</t>
  </si>
  <si>
    <t>https://ebookcentral.proquest.com/lib/iuavit/detail.action?docID=6913622</t>
  </si>
  <si>
    <t>Geografie bariér : Příklady dobrých bezbariérových realizací</t>
  </si>
  <si>
    <t>Osman, Robert;Šerý, Ondřej;Doboš, Pavel;Suchá, Ladislava;Martinek, Jan;Škop, Stanislav;Kaplan, Daniel;Surmařová, Simona;Kotýnková, Veronika;Línová, Jana</t>
  </si>
  <si>
    <t>https://ebookcentral.proquest.com/lib/iuavit/detail.action?docID=6913623</t>
  </si>
  <si>
    <t>Predikce potenciálních míst k výstavbě retenčních nádrží v krajině na základě využití reliktů zaniklých vodohospodářských staveb : Certifikovaná metodika</t>
  </si>
  <si>
    <t>Mazáčková, Jana;Žaža, Petr;Púčať, Andrej</t>
  </si>
  <si>
    <t>Engineering: Environmental; Social Science</t>
  </si>
  <si>
    <t>https://ebookcentral.proquest.com/lib/iuavit/detail.action?docID=6913624</t>
  </si>
  <si>
    <t>Studují spolu : Vzájemné učení mezi vysokoškolskými studenty kombinovaných studií a možnosti jeho podpory</t>
  </si>
  <si>
    <t>Brücknerová, Karla</t>
  </si>
  <si>
    <t>https://ebookcentral.proquest.com/lib/iuavit/detail.action?docID=6913626</t>
  </si>
  <si>
    <t>Zdroje a šíření vybraných komodit keramické produkce vrcholného a pozdního středověku</t>
  </si>
  <si>
    <t>Loskotová, Irena;Hložek, Martin;Tymonová, Markéta;Nosek, Vojtěch;Měchurová, Zdeňka;Holub, Petr;Sedláčková, Lenka;Zůbek, Antonín;Jordánková, Hana;Jagosz-Zarzycka, Zofia</t>
  </si>
  <si>
    <t>https://ebookcentral.proquest.com/lib/iuavit/detail.action?docID=6913627</t>
  </si>
  <si>
    <t>XIII. studentská vědecká konference Katedry českého jazyka a literatury : 18. března 2021</t>
  </si>
  <si>
    <t>Nováková, Ester;Zabloudil, Ondřej;Čermáková, Gabriela;Ošmera, Radim;Tinková, Veronika;Procházková, Zuzana;Jindra, Miroslav;Švandová, Tereza;Březinová, Klára;Gončarenko, Alexandra</t>
  </si>
  <si>
    <t>https://ebookcentral.proquest.com/lib/iuavit/detail.action?docID=6913628</t>
  </si>
  <si>
    <t>Vzdělávání žáků se specifickými poruchami učení – matematika : Metodická příručka</t>
  </si>
  <si>
    <t>Blažková, Růžena</t>
  </si>
  <si>
    <t>https://ebookcentral.proquest.com/lib/iuavit/detail.action?docID=6913629</t>
  </si>
  <si>
    <t>Metody kauzální analýzy pro měření efektivity podpory prodeje</t>
  </si>
  <si>
    <t>Králová, Maria</t>
  </si>
  <si>
    <t>https://ebookcentral.proquest.com/lib/iuavit/detail.action?docID=6913630</t>
  </si>
  <si>
    <t>Postupy a nástroje pedagogické evaluace pro (budoucí) učitele</t>
  </si>
  <si>
    <t>Janík, Tomáš;Černá, Monika;Vystrčilová, Petra;Vaďurová, Helena;Nehyba, Jan;Svojanovský, Petr;Picka, Karel;Slezáková, Katarína;Slepičková, Lenka;Kratochvílová, Jana</t>
  </si>
  <si>
    <t>https://ebookcentral.proquest.com/lib/iuavit/detail.action?docID=6913631</t>
  </si>
  <si>
    <t>Netradiční studenti pedagogických oborů na českých vysokých školách</t>
  </si>
  <si>
    <t>Novotný, Petr;Brücknerová, Karla;Rabušicová, Milada;Juhaňák, Libor;Knotová, Dana;Rozvadská, Katarína</t>
  </si>
  <si>
    <t>https://ebookcentral.proquest.com/lib/iuavit/detail.action?docID=6913632</t>
  </si>
  <si>
    <t>Inquiry in University Mathematics Teaching and Learning : The Platinum Project</t>
  </si>
  <si>
    <t>Jaworski, Barbara;Rebenda, Josef;Hochmuth, Reinhard;Thomas, Stephanie;Artigue, Michèle;Gómez-Chacón, Inés;Khellaf, Sarah;Peters, Jana;Ruge, Johanna;Másilko, Lukáš</t>
  </si>
  <si>
    <t>https://ebookcentral.proquest.com/lib/iuavit/detail.action?docID=6913633</t>
  </si>
  <si>
    <t>The Faithful and the Reasonable : Chapters on ecological Foolishness</t>
  </si>
  <si>
    <t>Librová, Hana;Galčanová, Lucie;Kala, Lukáš;Pelikán, Vojtěch</t>
  </si>
  <si>
    <t>https://ebookcentral.proquest.com/lib/iuavit/detail.action?docID=6913634</t>
  </si>
  <si>
    <t>Vyjmenovaná slova s Radkou a Kájou a pejskem Ottou</t>
  </si>
  <si>
    <t>Nováková, Andrea</t>
  </si>
  <si>
    <t>https://ebookcentral.proquest.com/lib/iuavit/detail.action?docID=6913635</t>
  </si>
  <si>
    <t>The Figurativeness of the Language of Mystical Experience : Particularities and Interpretations</t>
  </si>
  <si>
    <t>Vázquez, Antonio;Kučerková, Magda;Bakešová, Václava;Brezováková, Monika;Brodňanová, Silvia;Campana, Silvia;Civáňová, Zuzana;Fermín, Javier;Gallik, Ján;Gritti, Fabiano</t>
  </si>
  <si>
    <t>https://ebookcentral.proquest.com/lib/iuavit/detail.action?docID=6913636</t>
  </si>
  <si>
    <t>14. mezinárodní vědecká konference Didaktická konference 2021 : Sborník příspěvků</t>
  </si>
  <si>
    <t>Válek, Jan;Marinič, Peter;Pecina, Pavel;Viselga, Gintas;Barnová, Silvia;Absolon, Jaroslav;Beránek, Jaroslav;Bilčík, Alexander;Bilčíková, Jana;Dytrtová, Radmila</t>
  </si>
  <si>
    <t>https://ebookcentral.proquest.com/lib/iuavit/detail.action?docID=6913637</t>
  </si>
  <si>
    <t>China and the World in a Changing Context : Perspectives from Ambassadors to China</t>
  </si>
  <si>
    <t>https://ebookcentral.proquest.com/lib/iuavit/detail.action?docID=6913673</t>
  </si>
  <si>
    <t>Plans de Gestion de la Sécurité Sanitaire de l'eau Résilients Au Climat: Gestion des Risques de Santé Liés à la Variabilité et Aux Changements Climatiques</t>
  </si>
  <si>
    <t>World Health Organisation (WHO)</t>
  </si>
  <si>
    <t>Engineering: Mining; Science: General; Environmental Studies</t>
  </si>
  <si>
    <t>https://ebookcentral.proquest.com/lib/iuavit/detail.action?docID=6913842</t>
  </si>
  <si>
    <t>Water-Wise Cities and Sustainable Water Systems : Concepts, Technologies, and Applications</t>
  </si>
  <si>
    <t>Wang, Xiaochang C.;Fu, Guangtao</t>
  </si>
  <si>
    <t>https://ebookcentral.proquest.com/lib/iuavit/detail.action?docID=6913843</t>
  </si>
  <si>
    <t>Intangible Capital and Growth : Essays on Labor Productivity, Monetary Economics, and Political Economy, Vol. 1</t>
  </si>
  <si>
    <t>Roth, Felix</t>
  </si>
  <si>
    <t>HB74.P65</t>
  </si>
  <si>
    <t>https://ebookcentral.proquest.com/lib/iuavit/detail.action?docID=6914946</t>
  </si>
  <si>
    <t>Gender and Migration : IMISCOE Short Reader</t>
  </si>
  <si>
    <t>Christou, Anastasia;Kofman, Eleonore</t>
  </si>
  <si>
    <t>https://ebookcentral.proquest.com/lib/iuavit/detail.action?docID=6914960</t>
  </si>
  <si>
    <t>Zéro Pesticide : Un Nouveau Paradigme de Recherche Pour une Agriculture Durable</t>
  </si>
  <si>
    <t>Jacquet, Florence;Jeuffroy, Marie-Hélène;Jouan, Julia;Le Cadre, Edith;Malausa, Thibaut;Reboud, Xavier;Huyghe, Christian</t>
  </si>
  <si>
    <t>https://ebookcentral.proquest.com/lib/iuavit/detail.action?docID=6915684</t>
  </si>
  <si>
    <t>Public Support for the Euro : Essays on Labor Productivity, Monetary Economics, and Political Economy, Vol. 2</t>
  </si>
  <si>
    <t>https://ebookcentral.proquest.com/lib/iuavit/detail.action?docID=6915747</t>
  </si>
  <si>
    <t>Wissenschaft Kommuniziert : Eine Wissenssoziologische Gattungsanalyse des Akademischen Group-Talks Am Beispiel der Computational Neuroscience</t>
  </si>
  <si>
    <t>Wilke, René</t>
  </si>
  <si>
    <t>https://ebookcentral.proquest.com/lib/iuavit/detail.action?docID=6915748</t>
  </si>
  <si>
    <t>A Pathway to Excellence : The First 100 Years of Pathology and Laboratory Medicine at the University of Rochester School of Medicine and Dentistry, 1921-2020</t>
  </si>
  <si>
    <t>University of Rochester Press</t>
  </si>
  <si>
    <t>Smoller, Bruce R.</t>
  </si>
  <si>
    <t>https://ebookcentral.proquest.com/lib/iuavit/detail.action?docID=6916284</t>
  </si>
  <si>
    <t>A Jewel in the Crown II : Essays in Honor of the 90th Anniversary of the Institute of Optics University of Rochester</t>
  </si>
  <si>
    <t>Stroud, Carlos R.;Kern, Gina A.</t>
  </si>
  <si>
    <t>https://ebookcentral.proquest.com/lib/iuavit/detail.action?docID=6916285</t>
  </si>
  <si>
    <t>Modes of Esports Engagement in Overwatch</t>
  </si>
  <si>
    <t>Ruotsalainen, Maria;Törhönen, Maria;Karhulahti, Veli-Matti</t>
  </si>
  <si>
    <t>Social Science; Sport &amp;amp; Recreation</t>
  </si>
  <si>
    <t>P94.6-.65</t>
  </si>
  <si>
    <t>https://ebookcentral.proquest.com/lib/iuavit/detail.action?docID=6916340</t>
  </si>
  <si>
    <t>Women, Migration and Gendered Experiences : The Case of Post-1991 Albanian Migration</t>
  </si>
  <si>
    <t>Danaj, Ermira</t>
  </si>
  <si>
    <t>https://ebookcentral.proquest.com/lib/iuavit/detail.action?docID=6916353</t>
  </si>
  <si>
    <t>Revisualising Intersectionality</t>
  </si>
  <si>
    <t>Haschemi Yekani, Elahe;Nowicka, Magdalena;Roxanne, Tiara</t>
  </si>
  <si>
    <t>https://ebookcentral.proquest.com/lib/iuavit/detail.action?docID=6921720</t>
  </si>
  <si>
    <t>Die österreichische Gesellschaft Während der Corona-Pandemie : Ergebnisse Aus Sozialwissenschaftlichen Umfragen</t>
  </si>
  <si>
    <t>Aschauer, Wolfgang;Glatz, Christoph;Prandner, Dimitri</t>
  </si>
  <si>
    <t>https://ebookcentral.proquest.com/lib/iuavit/detail.action?docID=6921798</t>
  </si>
  <si>
    <t>Higher Education in Romania: Overcoming Challenges and Embracing Opportunities</t>
  </si>
  <si>
    <t>Curaj, Adrian;Salmi, Jamil;Hâj, Cezar Mihai</t>
  </si>
  <si>
    <t>https://ebookcentral.proquest.com/lib/iuavit/detail.action?docID=6921832</t>
  </si>
  <si>
    <t>Decarbonizing Freight Transport : Acceptance and Policy Implications</t>
  </si>
  <si>
    <t>Pfoser, Sarah</t>
  </si>
  <si>
    <t>https://ebookcentral.proquest.com/lib/iuavit/detail.action?docID=6925883</t>
  </si>
  <si>
    <t>Indian Agriculture Towards 2030 : Pathways for Enhancing Farmers' Income, Nutritional Security and Sustainable Food and Farm Systems</t>
  </si>
  <si>
    <t>Chand, Ramesh;Joshi, Pramod;Khadka, Shyam</t>
  </si>
  <si>
    <t>https://ebookcentral.proquest.com/lib/iuavit/detail.action?docID=6925889</t>
  </si>
  <si>
    <t>The Governance of Insurance Undertakings : Corporate Law and Insurance Regulation</t>
  </si>
  <si>
    <t>https://ebookcentral.proquest.com/lib/iuavit/detail.action?docID=6925890</t>
  </si>
  <si>
    <t>Histories of Experience in the World of Lived Religion</t>
  </si>
  <si>
    <t>Katajala-Peltomaa, Sari;Toivo, Raisa Maria</t>
  </si>
  <si>
    <t>https://ebookcentral.proquest.com/lib/iuavit/detail.action?docID=6927289</t>
  </si>
  <si>
    <t>Cancer in the Arab World</t>
  </si>
  <si>
    <t>Al-Shamsi, Humaid O.;Abu-Gheida, Ibrahim H.;Iqbal, Faryal;Al-Awadhi, Aydah</t>
  </si>
  <si>
    <t>https://ebookcentral.proquest.com/lib/iuavit/detail.action?docID=6927300</t>
  </si>
  <si>
    <t>Revisiting Migrant Networks : Migrants and Their Descendants in Labour Markets</t>
  </si>
  <si>
    <t>Keskiner, Elif;Eve, Michael;Ryan, Louise</t>
  </si>
  <si>
    <t>https://ebookcentral.proquest.com/lib/iuavit/detail.action?docID=6927304</t>
  </si>
  <si>
    <t>Das Formular</t>
  </si>
  <si>
    <t>Plener, Peter;Werber, Niels;Wolf, Burkhardt</t>
  </si>
  <si>
    <t>https://ebookcentral.proquest.com/lib/iuavit/detail.action?docID=6927308</t>
  </si>
  <si>
    <t>R&amp;d Management Practices and Innovation: Evidence from a Firm Survey</t>
  </si>
  <si>
    <t>Haneda, Shoko;Ono, Arito</t>
  </si>
  <si>
    <t>https://ebookcentral.proquest.com/lib/iuavit/detail.action?docID=6927309</t>
  </si>
  <si>
    <t>Koordination und Kompromiss in Föderalen Bildungssystemen : Umkämpfte Institutionalisierung Eines Neuen Zugangswegs in Die Lehrpersonenbildung</t>
  </si>
  <si>
    <t>Hafner, Sandra</t>
  </si>
  <si>
    <t>https://ebookcentral.proquest.com/lib/iuavit/detail.action?docID=6935556</t>
  </si>
  <si>
    <t>Process Mining Workshops : ICPM 2021 International Workshops, Eindhoven, the Netherlands, October 31 - November 4, 2021, Revised Selected Papers</t>
  </si>
  <si>
    <t>Munoz-Gama, Jorge;Lu, Xixi</t>
  </si>
  <si>
    <t>https://ebookcentral.proquest.com/lib/iuavit/detail.action?docID=6938742</t>
  </si>
  <si>
    <t>Value Sets for EQ-5D-5L : A Compendium, Comparative Review and User Guide</t>
  </si>
  <si>
    <t>Devlin, Nancy;Roudijk, Bram;Ludwig, Kristina</t>
  </si>
  <si>
    <t>RA407-409.5</t>
  </si>
  <si>
    <t>https://ebookcentral.proquest.com/lib/iuavit/detail.action?docID=6938761</t>
  </si>
  <si>
    <t>Energy Transition and Energy Democracy in East Asia</t>
  </si>
  <si>
    <t>Asuka, Jusen;Jin, Dan</t>
  </si>
  <si>
    <t>https://ebookcentral.proquest.com/lib/iuavit/detail.action?docID=6938770</t>
  </si>
  <si>
    <t>Adaptive Mediation and Conflict Resolution : Peace-Making in Colombia, Mozambique, the Philippines, and Syria</t>
  </si>
  <si>
    <t>de Coning, Cedric;Muto, Ako;Saraiva, Rui</t>
  </si>
  <si>
    <t>https://ebookcentral.proquest.com/lib/iuavit/detail.action?docID=6939387</t>
  </si>
  <si>
    <t>Thanks for Watching : An Anthropological Study of Video Sharing on YouTube</t>
  </si>
  <si>
    <t>Lange, Patricia G.</t>
  </si>
  <si>
    <t>HC79</t>
  </si>
  <si>
    <t>YouTube (Electronic resource)</t>
  </si>
  <si>
    <t>https://ebookcentral.proquest.com/lib/iuavit/detail.action?docID=6939908</t>
  </si>
  <si>
    <t>Emerging Trends in and Strategies for Industry 4. 0 During and Beyond Covid-19</t>
  </si>
  <si>
    <t>Akkaya, Bülent;Jermsittiparsert, Kittisak;Malik, Muhammad Abid;Kocyigit, Yesim</t>
  </si>
  <si>
    <t>https://ebookcentral.proquest.com/lib/iuavit/detail.action?docID=6939946</t>
  </si>
  <si>
    <t>Soziale Netzwerke und Politische Partizipation : Eine Empirische Untersuchung Mit Sozialräumlicher Perspektive</t>
  </si>
  <si>
    <t>Lütters, Stefanie</t>
  </si>
  <si>
    <t>https://ebookcentral.proquest.com/lib/iuavit/detail.action?docID=6940021</t>
  </si>
  <si>
    <t>Der Zusammenhang Zwischen Meritokratie und Beruflicher Bildung : Idealtypische Rekonstruktion Als Deutungsrahmen Für das Wertschätzungsproblem der Berufsbildung in der Ukraine</t>
  </si>
  <si>
    <t>Braun, Vera</t>
  </si>
  <si>
    <t>https://ebookcentral.proquest.com/lib/iuavit/detail.action?docID=6940133</t>
  </si>
  <si>
    <t>Archive of Jewish History : Volume 12</t>
  </si>
  <si>
    <t>Budnitskii, Oleg</t>
  </si>
  <si>
    <t>https://ebookcentral.proquest.com/lib/iuavit/detail.action?docID=6940169</t>
  </si>
  <si>
    <t>Museum Digitisations and Emerging Curatorial Agencies Online : Vikings in the Digital Age</t>
  </si>
  <si>
    <t>Axelsson, Bodil;Cameron, Fiona R.;Hauptman, Katherine;Pietrobruno, Sheenagh</t>
  </si>
  <si>
    <t>https://ebookcentral.proquest.com/lib/iuavit/detail.action?docID=6940459</t>
  </si>
  <si>
    <t>Fundamental Approaches to Software Engineering : 25th International Conference, FASE 2022, Held As Part of the European Joint Conferences on Theory and Practice of Software, ETAPS 2022, Munich, Germany, April 2-7, 2022, Proceedings</t>
  </si>
  <si>
    <t>Johnsen, Einar Broch;Wimmer, Manuel</t>
  </si>
  <si>
    <t>https://ebookcentral.proquest.com/lib/iuavit/detail.action?docID=6941355</t>
  </si>
  <si>
    <t>Programming Languages and Systems : 31st European Symposium on Programming, ESOP 2022, Held As Part of the European Joint Conferences on Theory and Practice of Software, ETAPS 2022, Munich, Germany, April 2-7, 2022, Proceedings</t>
  </si>
  <si>
    <t>Sergey, Ilya</t>
  </si>
  <si>
    <t>https://ebookcentral.proquest.com/lib/iuavit/detail.action?docID=6941372</t>
  </si>
  <si>
    <t>Foundations of Software Science and Computation Structures : 25th International Conference, FOSSACS 2022, Held As Part of the European Joint Conferences on Theory and Practice of Software, ETAPS 2022, Munich, Germany, April 2-7, 2022, Proceedings</t>
  </si>
  <si>
    <t>Bouyer, Patricia;Schröder, Lutz</t>
  </si>
  <si>
    <t>https://ebookcentral.proquest.com/lib/iuavit/detail.action?docID=6942704</t>
  </si>
  <si>
    <t>Tools and Algorithms for the Construction and Analysis of Systems : 28th International Conference, TACAS 2022, Held As Part of the European Joint Conferences on Theory and Practice of Software, ETAPS 2022, Munich, Germany, April 2-7, 2022, Proceedings, Part I</t>
  </si>
  <si>
    <t>Fisman, Dana;Rosu, Grigore</t>
  </si>
  <si>
    <t>https://ebookcentral.proquest.com/lib/iuavit/detail.action?docID=6942717</t>
  </si>
  <si>
    <t>Precision Oncology and Cancer Biomarkers : Issues at Stake and Matters of Concern</t>
  </si>
  <si>
    <t>Bremer, Anne;Strand, Roger</t>
  </si>
  <si>
    <t>R723-723.7</t>
  </si>
  <si>
    <t>https://ebookcentral.proquest.com/lib/iuavit/detail.action?docID=6942718</t>
  </si>
  <si>
    <t>Tools and Algorithms for the Construction and Analysis of Systems : 28th International Conference, TACAS 2022, Held As Part of the European Joint Conferences on Theory and Practice of Software, ETAPS 2022, Munich, Germany, April 2-7, 2022, Proceedings, Part II</t>
  </si>
  <si>
    <t>https://ebookcentral.proquest.com/lib/iuavit/detail.action?docID=6942731</t>
  </si>
  <si>
    <t>From Digital Twins to Digital Selves and Beyond : Engineering and Social Models for a Trans-Humanist World</t>
  </si>
  <si>
    <t>Barachini, Franz;Stary, Christian</t>
  </si>
  <si>
    <t>https://ebookcentral.proquest.com/lib/iuavit/detail.action?docID=6943625</t>
  </si>
  <si>
    <t>Evidence and Expertise in Nordic Education Policy : A Comparative Network Analysis</t>
  </si>
  <si>
    <t>Karseth, Berit;Sivesind, Kirsten;Steiner-Khamsi, Gita</t>
  </si>
  <si>
    <t>https://ebookcentral.proquest.com/lib/iuavit/detail.action?docID=6944353</t>
  </si>
  <si>
    <t>Bullying Im Klassenverband - Doch Nicht Nur in der Schule : Eine Charakterisierung der Rollen Bei Schul- und Cyberbullying</t>
  </si>
  <si>
    <t>Knauf, Rhea-Katharina</t>
  </si>
  <si>
    <t>HM1001-1281</t>
  </si>
  <si>
    <t>https://ebookcentral.proquest.com/lib/iuavit/detail.action?docID=6944375</t>
  </si>
  <si>
    <t>Organizational, Motivational, and Cultural Contexts of Volunteering : The European View</t>
  </si>
  <si>
    <t>Güntert, Stefan T.;Wehner, Theo;Mieg, Harald A.</t>
  </si>
  <si>
    <t>https://ebookcentral.proquest.com/lib/iuavit/detail.action?docID=6944403</t>
  </si>
  <si>
    <t>Diskurs und Materialität : Eine Dispositivanalyse des Drogentestens</t>
  </si>
  <si>
    <t>Egbert, Simon</t>
  </si>
  <si>
    <t>https://ebookcentral.proquest.com/lib/iuavit/detail.action?docID=6944412</t>
  </si>
  <si>
    <t>Russian in The 1740s</t>
  </si>
  <si>
    <t>Rosén, Thomas</t>
  </si>
  <si>
    <t>https://ebookcentral.proquest.com/lib/iuavit/detail.action?docID=6944864</t>
  </si>
  <si>
    <t>The Twilight of the Avant-Garde : Spanish Poetry 1980-2000</t>
  </si>
  <si>
    <t>Mayhew, Jonathan</t>
  </si>
  <si>
    <t>https://ebookcentral.proquest.com/lib/iuavit/detail.action?docID=6944886</t>
  </si>
  <si>
    <t>Ciaran Carson : Space, Place, Writing</t>
  </si>
  <si>
    <t>Alexander, Neal</t>
  </si>
  <si>
    <t>https://ebookcentral.proquest.com/lib/iuavit/detail.action?docID=6944888</t>
  </si>
  <si>
    <t>Essentials of Financial Management</t>
  </si>
  <si>
    <t>Laws, Jason</t>
  </si>
  <si>
    <t>https://ebookcentral.proquest.com/lib/iuavit/detail.action?docID=6944889</t>
  </si>
  <si>
    <t>The Letters of Elizabeth Rigby, Lady Eastlake</t>
  </si>
  <si>
    <t>Sheldon, Julie</t>
  </si>
  <si>
    <t>https://ebookcentral.proquest.com/lib/iuavit/detail.action?docID=6944890</t>
  </si>
  <si>
    <t>Diasporic Hallyu : The Korean Wave in Korean Canadian Youth Culture</t>
  </si>
  <si>
    <t>Yoon, Kyong</t>
  </si>
  <si>
    <t>GN625-635</t>
  </si>
  <si>
    <t>https://ebookcentral.proquest.com/lib/iuavit/detail.action?docID=6944931</t>
  </si>
  <si>
    <t>Multimedia Forensics</t>
  </si>
  <si>
    <t>Sencar, Husrev Taha;Verdoliva, Luisa;Memon, Nasir</t>
  </si>
  <si>
    <t>https://ebookcentral.proquest.com/lib/iuavit/detail.action?docID=6944947</t>
  </si>
  <si>
    <t>Police Code of Silence in Times of Change</t>
  </si>
  <si>
    <t>Kutnjak Ivković, Sanja;Maskály, Jon;Kule, Ahmet;Haberfeld, Maria (Maki)</t>
  </si>
  <si>
    <t>https://ebookcentral.proquest.com/lib/iuavit/detail.action?docID=6946353</t>
  </si>
  <si>
    <t>Krankenhaus-Report 2022 : Patientenversorgung Während der Pandemie</t>
  </si>
  <si>
    <t>https://ebookcentral.proquest.com/lib/iuavit/detail.action?docID=6946374</t>
  </si>
  <si>
    <t>Selbstbestimmung, Privatheit und Datenschutz : Gestaltungsoptionen Für Einen Europäischen Weg</t>
  </si>
  <si>
    <t>Friedewald, Michael;Kreutzer, Michael;Hansen, Marit</t>
  </si>
  <si>
    <t>https://ebookcentral.proquest.com/lib/iuavit/detail.action?docID=6947041</t>
  </si>
  <si>
    <t>Assessment of Cancer Screening : A Primer</t>
  </si>
  <si>
    <t>Marcus, Pamela M.</t>
  </si>
  <si>
    <t>https://ebookcentral.proquest.com/lib/iuavit/detail.action?docID=6947060</t>
  </si>
  <si>
    <t>Cybersecurity of Digital Service Chains : Challenges, Methodologies, and Tools</t>
  </si>
  <si>
    <t>Kołodziej, Joanna;Repetto, Matteo;Duzha, Armend</t>
  </si>
  <si>
    <t>https://ebookcentral.proquest.com/lib/iuavit/detail.action?docID=6949311</t>
  </si>
  <si>
    <t>Feeling Political : Emotions and Institutions Since 1789</t>
  </si>
  <si>
    <t>Frevert, Ute;Pahl, Kerstin Maria;Buscemi, Francesco;Nielsen, Philipp;Arndt, Agnes;Amico, Michael;Lichau, Karsten;Malone, Hannah;Wambach, Julia;Brauer, Juliane</t>
  </si>
  <si>
    <t>https://ebookcentral.proquest.com/lib/iuavit/detail.action?docID=6949317</t>
  </si>
  <si>
    <t>Recent Advances in Industrial and Applied Mathematics</t>
  </si>
  <si>
    <t>Chacón Rebollo, Tomás;Donat, Rosa;Higueras, Inmaculada</t>
  </si>
  <si>
    <t>https://ebookcentral.proquest.com/lib/iuavit/detail.action?docID=6949332</t>
  </si>
  <si>
    <t>Root, Tuber and Banana Food System Innovations : Value Creation for Inclusive Outcomes</t>
  </si>
  <si>
    <t>Thiele, Graham;Friedmann, Michael;Campos, Hugo;Polar, Vivian;Bentley, Jeffery W.</t>
  </si>
  <si>
    <t>https://ebookcentral.proquest.com/lib/iuavit/detail.action?docID=6949336</t>
  </si>
  <si>
    <t>Politische Bildung Für Die Digitale Öffentlichkeit : Umgang Mit Politischer Information und Kommunikation in Digitalen Räumen</t>
  </si>
  <si>
    <t>Hubacher, Manuel S.;Waldis, Monika</t>
  </si>
  <si>
    <t>https://ebookcentral.proquest.com/lib/iuavit/detail.action?docID=6949853</t>
  </si>
  <si>
    <t>The Reflector</t>
  </si>
  <si>
    <t>Battaglia, Jennifer;Shaw, Margie Hodges;Daiss, Susan;Gdowski, Martha</t>
  </si>
  <si>
    <t>https://ebookcentral.proquest.com/lib/iuavit/detail.action?docID=6949866</t>
  </si>
  <si>
    <t>Across the Copperbelt : Urban and Social Change in Central Africa's Borderland Communities</t>
  </si>
  <si>
    <t>Boydell &amp; Brewer, Limited</t>
  </si>
  <si>
    <t>Larmer, Miles;Guene, Enid;Henriet, Benoît;Pesa, Iva;Taylor, Rachel;Money, Duncan;Chipande, Hikabwa D.;Kesselring, Rita;Gordon, David M.;Straube, Christian</t>
  </si>
  <si>
    <t>https://ebookcentral.proquest.com/lib/iuavit/detail.action?docID=6950014</t>
  </si>
  <si>
    <t>Berlioz in Time : From Early Recognition to Lasting Renown</t>
  </si>
  <si>
    <t>Bloom, Peter</t>
  </si>
  <si>
    <t>https://ebookcentral.proquest.com/lib/iuavit/detail.action?docID=6950015</t>
  </si>
  <si>
    <t>https://ebookcentral.proquest.com/lib/iuavit/detail.action?docID=6950016</t>
  </si>
  <si>
    <t>Health and Zionism : The Israeli Health Care System, 1948-1960</t>
  </si>
  <si>
    <t>Shvarts, Shifra</t>
  </si>
  <si>
    <t>https://ebookcentral.proquest.com/lib/iuavit/detail.action?docID=6950017</t>
  </si>
  <si>
    <t>Electricity in Africa : The Politics of Transformation in Uganda</t>
  </si>
  <si>
    <t>Gore, Christopher</t>
  </si>
  <si>
    <t>621.31/21096761</t>
  </si>
  <si>
    <t>https://ebookcentral.proquest.com/lib/iuavit/detail.action?docID=6950018</t>
  </si>
  <si>
    <t>Coming Out</t>
  </si>
  <si>
    <t>Boydell &amp; Brewer, Incorporated</t>
  </si>
  <si>
    <t>Frackman, Kyle</t>
  </si>
  <si>
    <t>https://ebookcentral.proquest.com/lib/iuavit/detail.action?docID=6950019</t>
  </si>
  <si>
    <t>The Consistory and Social Discipline in Calvin's Geneva</t>
  </si>
  <si>
    <t>Watt, Jeffrey R.</t>
  </si>
  <si>
    <t>https://ebookcentral.proquest.com/lib/iuavit/detail.action?docID=6950020</t>
  </si>
  <si>
    <t>The Workers' Health Fund in Eretz Israel : Kupat Holim, 1911-1937</t>
  </si>
  <si>
    <t>R644.P3S54 2002</t>
  </si>
  <si>
    <t>610/.95694</t>
  </si>
  <si>
    <t>https://ebookcentral.proquest.com/lib/iuavit/detail.action?docID=6950021</t>
  </si>
  <si>
    <t>West African Masking Traditions and Diaspora Masquerade Carnivals : History, Memory, and Transnationalism</t>
  </si>
  <si>
    <t>Njoku, Raphael Chijioke</t>
  </si>
  <si>
    <t>https://ebookcentral.proquest.com/lib/iuavit/detail.action?docID=6950023</t>
  </si>
  <si>
    <t>Health Dimensions of COVID-19 in India and Beyond</t>
  </si>
  <si>
    <t>Pachauri, Saroj;Pachauri, Ash</t>
  </si>
  <si>
    <t>https://ebookcentral.proquest.com/lib/iuavit/detail.action?docID=6950331</t>
  </si>
  <si>
    <t>Data Science-Based Full-Lifespan Management of Lithium-Ion Battery : Manufacturing, Operation and Reutilization</t>
  </si>
  <si>
    <t>Liu, Kailong;Wang, Yujie;Lai, Xin</t>
  </si>
  <si>
    <t>https://ebookcentral.proquest.com/lib/iuavit/detail.action?docID=6950332</t>
  </si>
  <si>
    <t>Logischer Empirismus, Lebensreform und Die Deutsche Jugendbewegung : Logical Empiricism, Life Reform, and the German Youth Movement</t>
  </si>
  <si>
    <t>Damböck, Christian;Sandner, Günther;Werner, Meike G.</t>
  </si>
  <si>
    <t>https://ebookcentral.proquest.com/lib/iuavit/detail.action?docID=6951413</t>
  </si>
  <si>
    <t>Narrative Ethics in Public Health: the Value of Stories</t>
  </si>
  <si>
    <t>Barrett, Drue H.;Ortmann, Leonard W.;Larson, Stephanie A.</t>
  </si>
  <si>
    <t>https://ebookcentral.proquest.com/lib/iuavit/detail.action?docID=6951933</t>
  </si>
  <si>
    <t>A Prodigy of Universal Genius: Robert Leslie Ellis, 1817-1859</t>
  </si>
  <si>
    <t>Verburgt, Lukas M.</t>
  </si>
  <si>
    <t>https://ebookcentral.proquest.com/lib/iuavit/detail.action?docID=6951944</t>
  </si>
  <si>
    <t>Proceedings of the 8th International Conference on Civil Engineering</t>
  </si>
  <si>
    <t>Feng, Guangliang</t>
  </si>
  <si>
    <t>https://ebookcentral.proquest.com/lib/iuavit/detail.action?docID=6951957</t>
  </si>
  <si>
    <t>Von Verteidigern und Entdeckern : Ein Neuer Identitätskonflikt in Europa</t>
  </si>
  <si>
    <t>Back, Mitja;Echterhoff, Gerald;Müller, Olaf;Pollack, Detlef;Schlipphak, Bernd</t>
  </si>
  <si>
    <t>BL65.P7</t>
  </si>
  <si>
    <t>https://ebookcentral.proquest.com/lib/iuavit/detail.action?docID=6953178</t>
  </si>
  <si>
    <t>Quantifying Quality of Life : Incorporating Daily Life into Medicine</t>
  </si>
  <si>
    <t>Wac, Katarzyna;Wulfovich, Sharon</t>
  </si>
  <si>
    <t>https://ebookcentral.proquest.com/lib/iuavit/detail.action?docID=6953198</t>
  </si>
  <si>
    <t>Torture, Humiliate, Kill : Inside the Bosnian Serb Camp System</t>
  </si>
  <si>
    <t>Karcic, Hikmet</t>
  </si>
  <si>
    <t>https://ebookcentral.proquest.com/lib/iuavit/detail.action?docID=6953650</t>
  </si>
  <si>
    <t>Decolonisations of Literature : Critical Practice in Africa and Brazil After 1945</t>
  </si>
  <si>
    <t>Helgesson, Stefan</t>
  </si>
  <si>
    <t>https://ebookcentral.proquest.com/lib/iuavit/detail.action?docID=6954138</t>
  </si>
  <si>
    <t>Modern Cryptography Volume 1 : A Classical Introduction to Informational and Mathematical Principle</t>
  </si>
  <si>
    <t>Zheng, Zhiyong</t>
  </si>
  <si>
    <t>HG176.7</t>
  </si>
  <si>
    <t>https://ebookcentral.proquest.com/lib/iuavit/detail.action?docID=6954145</t>
  </si>
  <si>
    <t>Modern Introduction To Particle Physics, A (3rd Edition)</t>
  </si>
  <si>
    <t>Fayyazuddin, .;Riazuddin, .</t>
  </si>
  <si>
    <t>https://ebookcentral.proquest.com/lib/iuavit/detail.action?docID=6954215</t>
  </si>
  <si>
    <t>XxAI - Beyond Explainable AI : International Workshop, Held in Conjunction with ICML 2020, July 18, 2020, Vienna, Austria, Revised and Extended Papers</t>
  </si>
  <si>
    <t>Holzinger, Andreas;Goebel, Randy;Fong, Ruth;Moon, Taesup;Müller, Klaus-Robert;Samek, Wojciech</t>
  </si>
  <si>
    <t>https://ebookcentral.proquest.com/lib/iuavit/detail.action?docID=6954332</t>
  </si>
  <si>
    <t>Motivationale Aspekte Mathematischer Lernprozesse : Eine Untersuchung Zu Professionellen Kompetenzen der Motivationsförderung Im Mathematikunterricht</t>
  </si>
  <si>
    <t>Hettmann, Maximilian</t>
  </si>
  <si>
    <t>https://ebookcentral.proquest.com/lib/iuavit/detail.action?docID=6954915</t>
  </si>
  <si>
    <t>Bienen an der Hochschule : Ein Interdisziplinäres Nachhaltigkeitsprojekt</t>
  </si>
  <si>
    <t>Bertagnolli, Frank;Bludau, Simon;Fetzer, Lea;Hadamek, Lucas;Herrmann, Tayla;Treick, Amy</t>
  </si>
  <si>
    <t>https://ebookcentral.proquest.com/lib/iuavit/detail.action?docID=6954926</t>
  </si>
  <si>
    <t>Being Human During COVID</t>
  </si>
  <si>
    <t>Hass, Kristin</t>
  </si>
  <si>
    <t>https://ebookcentral.proquest.com/lib/iuavit/detail.action?docID=6955499</t>
  </si>
  <si>
    <t>Hizmet in Transitions : European Developments of a Turkish Muslim-Inspired Movement</t>
  </si>
  <si>
    <t>Weller, Paul</t>
  </si>
  <si>
    <t>https://ebookcentral.proquest.com/lib/iuavit/detail.action?docID=6957420</t>
  </si>
  <si>
    <t>Socio-Technical Innovation Bundles for Agri-Food Systems Transformation</t>
  </si>
  <si>
    <t>Barrett, Christopher B.;Benton, Tim;Fanzo, Jessica;Herrero, Mario;Nelson, Rebecca J.;Bageant, Elizabeth;Buckler, Edward;Cooper, Karen;Culotta, Isabella;Fan, Shenggen</t>
  </si>
  <si>
    <t>https://ebookcentral.proquest.com/lib/iuavit/detail.action?docID=6961053</t>
  </si>
  <si>
    <t>Data Assimilation Fundamentals : A Unified Formulation of the State and Parameter Estimation Problem</t>
  </si>
  <si>
    <t>Evensen, Geir;Vossepoel, Femke C.;van Leeuwen, Peter Jan</t>
  </si>
  <si>
    <t>https://ebookcentral.proquest.com/lib/iuavit/detail.action?docID=6961341</t>
  </si>
  <si>
    <t>Covid-19 and Capitalism : Success and Failure of the Legal Methods for Dealing with a Pandemic</t>
  </si>
  <si>
    <t>Byttebier, Koen</t>
  </si>
  <si>
    <t>https://ebookcentral.proquest.com/lib/iuavit/detail.action?docID=6961413</t>
  </si>
  <si>
    <t>Contemporary Housing Struggles : A Structural Field of Contention Approach</t>
  </si>
  <si>
    <t>Florea, Ioana;Gagyi, Agnes;Jacobsson, Kerstin</t>
  </si>
  <si>
    <t>https://ebookcentral.proquest.com/lib/iuavit/detail.action?docID=6961414</t>
  </si>
  <si>
    <t>Control Problems for Conservation Laws with Traffic Applications : Modeling, Analysis, and Numerical Methods</t>
  </si>
  <si>
    <t>Bayen, Alexandre;Delle Monache, Maria Laura;Garavello, Mauro;Goatin, Paola;Piccoli, Benedetto</t>
  </si>
  <si>
    <t>https://ebookcentral.proquest.com/lib/iuavit/detail.action?docID=6961667</t>
  </si>
  <si>
    <t>Questioning the Entrepreneurial State : Status-Quo, Pitfalls, and the Need for Credible Innovation Policy</t>
  </si>
  <si>
    <t>Wennberg, Karl;Sandström, Christian</t>
  </si>
  <si>
    <t>https://ebookcentral.proquest.com/lib/iuavit/detail.action?docID=6961691</t>
  </si>
  <si>
    <t>Publishing Sacrobosco's de Sphaera in Early Modern Europe : Modes of Material and Scientific Exchange</t>
  </si>
  <si>
    <t>Valleriani, Matteo;Ottone, Andrea</t>
  </si>
  <si>
    <t>https://ebookcentral.proquest.com/lib/iuavit/detail.action?docID=6962836</t>
  </si>
  <si>
    <t>Lives in Peace Research : The Oslo Stories</t>
  </si>
  <si>
    <t>Tønnesson, Stein</t>
  </si>
  <si>
    <t>https://ebookcentral.proquest.com/lib/iuavit/detail.action?docID=6962848</t>
  </si>
  <si>
    <t>Energy-Efficient and Semi-Automated Truck Platooning : Research and Evaluation</t>
  </si>
  <si>
    <t>Schirrer, Alexander;Gratzer, Alexander L.;Thormann, Sebastian;Jakubek, Stefan;Neubauer, Matthias;Schildorfer, Wolfgang</t>
  </si>
  <si>
    <t>https://ebookcentral.proquest.com/lib/iuavit/detail.action?docID=6962853</t>
  </si>
  <si>
    <t>Crisis Response in Higher Education : How the Pandemic Challenged University Operations and Organisation</t>
  </si>
  <si>
    <t>Benner, Mats;Grant, Jonathan;O'Kane, Mary</t>
  </si>
  <si>
    <t>HD21</t>
  </si>
  <si>
    <t>https://ebookcentral.proquest.com/lib/iuavit/detail.action?docID=6963471</t>
  </si>
  <si>
    <t>Assessment of Energy-Efficient Building Details for Seismic Regions</t>
  </si>
  <si>
    <t>Azinović, Boris;Kilar, Vojko;Koren, David</t>
  </si>
  <si>
    <t>NA2542.36</t>
  </si>
  <si>
    <t>https://ebookcentral.proquest.com/lib/iuavit/detail.action?docID=6963491</t>
  </si>
  <si>
    <t>Schützende Bewältigung : Eine Grounded Theory Zu Diskriminierungserfahrungen Von Fachkräften in der Sozialen Arbeit</t>
  </si>
  <si>
    <t>Logeswaran, Araththy</t>
  </si>
  <si>
    <t>HT1501-1595.22</t>
  </si>
  <si>
    <t>https://ebookcentral.proquest.com/lib/iuavit/detail.action?docID=6965025</t>
  </si>
  <si>
    <t>Die Beharrliche Mitte - Wenn Investive Statusarbeit Funktioniert</t>
  </si>
  <si>
    <t>Kumkar, Nils C.;Holubek-Schaum, Stefan;Gottschall, Karin;Hollstein, Betina;Schimank, Uwe</t>
  </si>
  <si>
    <t>https://ebookcentral.proquest.com/lib/iuavit/detail.action?docID=6965072</t>
  </si>
  <si>
    <t>The Political Economy of Non-Western Migration Regimes : Central Asian Migrant Workers in Russia and Turkey</t>
  </si>
  <si>
    <t>Urinboyev, Rustamjon;Eraliev, Sherzod</t>
  </si>
  <si>
    <t>https://ebookcentral.proquest.com/lib/iuavit/detail.action?docID=6965093</t>
  </si>
  <si>
    <t>Technologies and Applications for Big Data Value</t>
  </si>
  <si>
    <t>Curry, Edward;Auer, Sören;Berre, Arne J.;Metzger, Andreas;Perez, Maria S.;Zillner, Sonja</t>
  </si>
  <si>
    <t>https://ebookcentral.proquest.com/lib/iuavit/detail.action?docID=6965112</t>
  </si>
  <si>
    <t>Big Data and Artificial Intelligence in Digital Finance : Increasing Personalization and Trust in Digital Finance Using Big Data and AI</t>
  </si>
  <si>
    <t>Soldatos, John;Kyriazis, Dimosthenis</t>
  </si>
  <si>
    <t>https://ebookcentral.proquest.com/lib/iuavit/detail.action?docID=6966394</t>
  </si>
  <si>
    <t>The Teleological and Kalam Cosmological Arguments Revisited</t>
  </si>
  <si>
    <t>Loke, Andrew</t>
  </si>
  <si>
    <t>BL51</t>
  </si>
  <si>
    <t>https://ebookcentral.proquest.com/lib/iuavit/detail.action?docID=6970721</t>
  </si>
  <si>
    <t>Popularität und Relevanz in der Suche : Ein Experiment Zur Erforschung Von Relevanzkriterien in Akademischen Suchsystemen</t>
  </si>
  <si>
    <t>Behnert, Christiane</t>
  </si>
  <si>
    <t>https://ebookcentral.proquest.com/lib/iuavit/detail.action?docID=6975979</t>
  </si>
  <si>
    <t>Putting PIRLS to Use in Classrooms Across the Globe : Evidence-Based Contributions for Teaching Reading Comprehension in a Multilingual Context</t>
  </si>
  <si>
    <t>Bruggink, Marian;Swart, Nicole;van der Lee, Annelies;Segers, Eliane</t>
  </si>
  <si>
    <t>https://ebookcentral.proquest.com/lib/iuavit/detail.action?docID=6975987</t>
  </si>
  <si>
    <t>Stressbewältigung Durch Pflegekräfte : Konzeptionelle und Empirische Analysen Vor Dem Hintergrund des Copings und der Resilienz</t>
  </si>
  <si>
    <t>Klingenberg, Ingo</t>
  </si>
  <si>
    <t>https://ebookcentral.proquest.com/lib/iuavit/detail.action?docID=6976014</t>
  </si>
  <si>
    <t>Female Genital Mutilation/Cutting in Children and Adolescents : Illustrated Guide to Diagnose, Assess, Inform and Report</t>
  </si>
  <si>
    <t>Abdulcadir, Jasmine;Sachs Guedj, Noémie;Yaron, Michal</t>
  </si>
  <si>
    <t>RG1-991</t>
  </si>
  <si>
    <t>https://ebookcentral.proquest.com/lib/iuavit/detail.action?docID=6976052</t>
  </si>
  <si>
    <t>Mobile Forensics - the File Format Handbook : Common File Formats and File Systems Used in Mobile Devices</t>
  </si>
  <si>
    <t>Hummert, Christian;Pawlaszczyk, Dirk</t>
  </si>
  <si>
    <t>QA76.9.A73</t>
  </si>
  <si>
    <t>https://ebookcentral.proquest.com/lib/iuavit/detail.action?docID=6976056</t>
  </si>
  <si>
    <t>Care Poverty : When Older People's Needs Remain Unmet</t>
  </si>
  <si>
    <t>Kröger, Teppo</t>
  </si>
  <si>
    <t>https://ebookcentral.proquest.com/lib/iuavit/detail.action?docID=6976068</t>
  </si>
  <si>
    <t>Zur Soziologie der Software : Die Rolle Digitaler Technik Bei der Kontrolle Von Unsicherheiten</t>
  </si>
  <si>
    <t>Ametowobla, Dzifa</t>
  </si>
  <si>
    <t>https://ebookcentral.proquest.com/lib/iuavit/detail.action?docID=6976072</t>
  </si>
  <si>
    <t>Product Development Within Artificial Intelligence, Ethics and Legal Risk : Exemplary for Safe Autonomous Vehicles</t>
  </si>
  <si>
    <t>Winkle, Thomas</t>
  </si>
  <si>
    <t>https://ebookcentral.proquest.com/lib/iuavit/detail.action?docID=6976081</t>
  </si>
  <si>
    <t>Water-Filtered Infrared a (wIRA) Irradiation : From Research to Clinical Settings</t>
  </si>
  <si>
    <t>Vaupel, Peter</t>
  </si>
  <si>
    <t>https://ebookcentral.proquest.com/lib/iuavit/detail.action?docID=6976277</t>
  </si>
  <si>
    <t>Transnational Modern Languages : A Handbook</t>
  </si>
  <si>
    <t>Burns, Jennifer;Duncan, Derek</t>
  </si>
  <si>
    <t>https://ebookcentral.proquest.com/lib/iuavit/detail.action?docID=6977210</t>
  </si>
  <si>
    <t>Proust and America : The Influence of American Art, Culture, and Literature on a la Recherché du Temps Perdu</t>
  </si>
  <si>
    <t>Murphy, Michael</t>
  </si>
  <si>
    <t>PQ2631.R63Z789288 20</t>
  </si>
  <si>
    <t>https://ebookcentral.proquest.com/lib/iuavit/detail.action?docID=6977218</t>
  </si>
  <si>
    <t>Remaking the Voyage : New Essays on Malcolm Lowry and 'in Ballast to the White Sea'</t>
  </si>
  <si>
    <t>Tookey, Helen;Biggs, Bryan</t>
  </si>
  <si>
    <t>https://ebookcentral.proquest.com/lib/iuavit/detail.action?docID=6977223</t>
  </si>
  <si>
    <t>Optimierung der Tragfähigkeit Von Zahnwellenverbindungen</t>
  </si>
  <si>
    <t>Wild, Jochen</t>
  </si>
  <si>
    <t>TH1-9745</t>
  </si>
  <si>
    <t>https://ebookcentral.proquest.com/lib/iuavit/detail.action?docID=6977289</t>
  </si>
  <si>
    <t>Jesuit and English Experiences at the Mughal Court, C. 1580-1615</t>
  </si>
  <si>
    <t>Melo, João Vicente</t>
  </si>
  <si>
    <t>DS331-349.9</t>
  </si>
  <si>
    <t>https://ebookcentral.proquest.com/lib/iuavit/detail.action?docID=6977335</t>
  </si>
  <si>
    <t>Sustainable Energy Access for Communities : Rethinking the Energy Agenda for Cities</t>
  </si>
  <si>
    <t>Fall, Aminata;Haas, Reinhard</t>
  </si>
  <si>
    <t>https://ebookcentral.proquest.com/lib/iuavit/detail.action?docID=6977337</t>
  </si>
  <si>
    <t>Learning, Philosophy, and African Citizenship</t>
  </si>
  <si>
    <t>Holma, Katariina;Kontinen, Tiina</t>
  </si>
  <si>
    <t>Education; Political Science</t>
  </si>
  <si>
    <t>https://ebookcentral.proquest.com/lib/iuavit/detail.action?docID=6977378</t>
  </si>
  <si>
    <t>Fethullah Gülen's Teaching and Practice : Inheritance, Context, and Interactive Development</t>
  </si>
  <si>
    <t>https://ebookcentral.proquest.com/lib/iuavit/detail.action?docID=6977385</t>
  </si>
  <si>
    <t>Demographic and Family Transition in Southeast Asia</t>
  </si>
  <si>
    <t>Yeung, Wei-Jun Jean</t>
  </si>
  <si>
    <t>https://ebookcentral.proquest.com/lib/iuavit/detail.action?docID=6977401</t>
  </si>
  <si>
    <t>Ausbildungsqualitäten - Andersartig, Aber Gleichwertig? : Ein Vergleich Konkurrierender Gesundheitsausbildungen in der Schweiz</t>
  </si>
  <si>
    <t>Esposito, Raffaella Simona</t>
  </si>
  <si>
    <t>https://ebookcentral.proquest.com/lib/iuavit/detail.action?docID=6977947</t>
  </si>
  <si>
    <t>Improvising Reconciliation : Confession after the Truth Commission</t>
  </si>
  <si>
    <t>Charlton, Ed</t>
  </si>
  <si>
    <t>https://ebookcentral.proquest.com/lib/iuavit/detail.action?docID=6977965</t>
  </si>
  <si>
    <t>The Unfinished Revolution : Haiti, Black Sovereignty and Power in the Nineteenth-Century Atlantic World</t>
  </si>
  <si>
    <t>Salt, Karen</t>
  </si>
  <si>
    <t>https://ebookcentral.proquest.com/lib/iuavit/detail.action?docID=6977971</t>
  </si>
  <si>
    <t>Computational Physiology : Simula Summer School 2021  Student Reports</t>
  </si>
  <si>
    <t>McCabe, Kimberly J.</t>
  </si>
  <si>
    <t>https://ebookcentral.proquest.com/lib/iuavit/detail.action?docID=6978014</t>
  </si>
  <si>
    <t>Anthropology, Film Industries, Modularity</t>
  </si>
  <si>
    <t>Rossoukh, Ramyar D.;Caton, Steven C.</t>
  </si>
  <si>
    <t>https://ebookcentral.proquest.com/lib/iuavit/detail.action?docID=6978112</t>
  </si>
  <si>
    <t>Implementing the Water-Energy-Food- Ecosystems Nexus and Achieving the Sustainable Development Goals</t>
  </si>
  <si>
    <t>Carmona-Moreno, Cesar;Crestaz, E.;Cimmarrusti, Y.;Farinosi, F.;Biedler, M.;Amani, A.;Mishra, A;Carmona-Gutierrez, A.</t>
  </si>
  <si>
    <t>https://ebookcentral.proquest.com/lib/iuavit/detail.action?docID=6978159</t>
  </si>
  <si>
    <t>Indicadores de Desempeño para Servicios de Saneamiento: Manual de Buenas Prácticas</t>
  </si>
  <si>
    <t>Matos, R.;Cardoso, A.;Duarte, Patrícia;Ashley, Richard M.;Molinari, A.;Schulz, A.</t>
  </si>
  <si>
    <t>Science: General; Engineering: Mining; Environmental Studies</t>
  </si>
  <si>
    <t>https://ebookcentral.proquest.com/lib/iuavit/detail.action?docID=6978160</t>
  </si>
  <si>
    <t>Orb and Sceptre : Studies in British Imperialism and Its Legacies, in Honour of Norman Etherington</t>
  </si>
  <si>
    <t>Monash University Publishing</t>
  </si>
  <si>
    <t>Limb, Peter</t>
  </si>
  <si>
    <t>DA16.O73 2008</t>
  </si>
  <si>
    <t>https://ebookcentral.proquest.com/lib/iuavit/detail.action?docID=6978163</t>
  </si>
  <si>
    <t>Australians in Italy : Contemporary Lives and Impressions</t>
  </si>
  <si>
    <t>Kent, Bill;Pesman, Ros;Troup, Cynthia</t>
  </si>
  <si>
    <t>https://ebookcentral.proquest.com/lib/iuavit/detail.action?docID=6978164</t>
  </si>
  <si>
    <t>Seize the Day: Exhibitions : Exhibitions, Australia and the World</t>
  </si>
  <si>
    <t>Darian-Smith, Kate;Gillespie, Richard;Jordan, Caroline</t>
  </si>
  <si>
    <t>https://ebookcentral.proquest.com/lib/iuavit/detail.action?docID=6978165</t>
  </si>
  <si>
    <t>Writing Histories : Imagination and Narration</t>
  </si>
  <si>
    <t>Curthoys, Ann;McGrath, Ann</t>
  </si>
  <si>
    <t>https://ebookcentral.proquest.com/lib/iuavit/detail.action?docID=6978166</t>
  </si>
  <si>
    <t>Drawing the Line : Using Cartoons As Historical Evidence</t>
  </si>
  <si>
    <t>Quartly, Marian;Scully, Richard</t>
  </si>
  <si>
    <t>https://ebookcentral.proquest.com/lib/iuavit/detail.action?docID=6978167</t>
  </si>
  <si>
    <t>Australians in Britain : The Twentieth-Century Experience</t>
  </si>
  <si>
    <t>Bridge, Carl;Crawford, Robert;Dunstan, David</t>
  </si>
  <si>
    <t>CT775.A87 2009</t>
  </si>
  <si>
    <t>https://ebookcentral.proquest.com/lib/iuavit/detail.action?docID=6978168</t>
  </si>
  <si>
    <t>Complicated Currents : Media Flows, Soft Power and East Asia</t>
  </si>
  <si>
    <t>Black, Daniel;Epstein, Stephen;Tokita, Alison</t>
  </si>
  <si>
    <t>https://ebookcentral.proquest.com/lib/iuavit/detail.action?docID=6978169</t>
  </si>
  <si>
    <t>From Ferranti to Faculty : Information Technology at Monash University, 1960 To 1990</t>
  </si>
  <si>
    <t>Rood, Sarah</t>
  </si>
  <si>
    <t>Computer Science/IT; Education; Engineering: General</t>
  </si>
  <si>
    <t>https://ebookcentral.proquest.com/lib/iuavit/detail.action?docID=6978170</t>
  </si>
  <si>
    <t>Still Learning : A 50 Year History of Monash University Peninsula Campus</t>
  </si>
  <si>
    <t>Woodhouse, Fay</t>
  </si>
  <si>
    <t>https://ebookcentral.proquest.com/lib/iuavit/detail.action?docID=6978171</t>
  </si>
  <si>
    <t>Jean Primrose Whyte : A Professional Biography</t>
  </si>
  <si>
    <t>Jenkin, Coralie Elsenore Janis</t>
  </si>
  <si>
    <t>https://ebookcentral.proquest.com/lib/iuavit/detail.action?docID=6978172</t>
  </si>
  <si>
    <t>A Pedagogy of Place : Outdoor Education for a Changing World</t>
  </si>
  <si>
    <t>Brown, Mike;Wattchow, Brian</t>
  </si>
  <si>
    <t>https://ebookcentral.proquest.com/lib/iuavit/detail.action?docID=6978173</t>
  </si>
  <si>
    <t>The Project As a Social System : Asia-Pacific Perspectives on Project Management</t>
  </si>
  <si>
    <t>Linger, Henry;Owen, Jill</t>
  </si>
  <si>
    <t>https://ebookcentral.proquest.com/lib/iuavit/detail.action?docID=6978176</t>
  </si>
  <si>
    <t>Verge 2011 : The Unknowable</t>
  </si>
  <si>
    <t>Macdonald, Anna;Norris, Bethany;Noske, Catherine</t>
  </si>
  <si>
    <t>https://ebookcentral.proquest.com/lib/iuavit/detail.action?docID=6978178</t>
  </si>
  <si>
    <t>A Home Away from Home? : International Students in Australian and South African Higher Education</t>
  </si>
  <si>
    <t>Nieuwenhuysen, John;Snyder, Ilana</t>
  </si>
  <si>
    <t>https://ebookcentral.proquest.com/lib/iuavit/detail.action?docID=6978179</t>
  </si>
  <si>
    <t>Old Myths and New Approaches : Interpreting Ancient Religious Sites in Southeast Asia</t>
  </si>
  <si>
    <t>Haendel, Alexandra</t>
  </si>
  <si>
    <t>https://ebookcentral.proquest.com/lib/iuavit/detail.action?docID=6978180</t>
  </si>
  <si>
    <t>Reading Robinson : Companion Essays to George Augustus Robinson's Friendly Mission</t>
  </si>
  <si>
    <t>Johnston, Anna;Rolls, Mitchell</t>
  </si>
  <si>
    <t>https://ebookcentral.proquest.com/lib/iuavit/detail.action?docID=6978181</t>
  </si>
  <si>
    <t>Wanderings in India : Australian Perceptions</t>
  </si>
  <si>
    <t>Hosking, Rick;Sarwal, Amit</t>
  </si>
  <si>
    <t>https://ebookcentral.proquest.com/lib/iuavit/detail.action?docID=6978182</t>
  </si>
  <si>
    <t>Knowing Indonesia : Intersections of Self, Discipline and Nation</t>
  </si>
  <si>
    <t>Purdey, Jemma</t>
  </si>
  <si>
    <t>https://ebookcentral.proquest.com/lib/iuavit/detail.action?docID=6978183</t>
  </si>
  <si>
    <t>Verge 2012 : Inverse</t>
  </si>
  <si>
    <t>Clifford, Samantha;McFarlane, Rosalind</t>
  </si>
  <si>
    <t>https://ebookcentral.proquest.com/lib/iuavit/detail.action?docID=6978184</t>
  </si>
  <si>
    <t>From a Broom Cupboard : 20 Years of Rural Health at Monash University</t>
  </si>
  <si>
    <t>Clough, Robert</t>
  </si>
  <si>
    <t>Education; Health; History</t>
  </si>
  <si>
    <t>https://ebookcentral.proquest.com/lib/iuavit/detail.action?docID=6978187</t>
  </si>
  <si>
    <t>Leveraging Data Science for Global Health</t>
  </si>
  <si>
    <t>Celi, Leo Anthony;Majumder, Maimuna S.;Ordóñez, Patricia;Osorio, Juan Sebastian;Paik, Kenneth E.;Somai, Melek</t>
  </si>
  <si>
    <t>https://ebookcentral.proquest.com/lib/iuavit/detail.action?docID=6978213</t>
  </si>
  <si>
    <t>La Vache Globale : La Génétique Dans l'industrialisation du Vivant</t>
  </si>
  <si>
    <t>Chavinskaia, Lidia</t>
  </si>
  <si>
    <t>https://ebookcentral.proquest.com/lib/iuavit/detail.action?docID=6978224</t>
  </si>
  <si>
    <t>Le Bien-être des Animaux D'élevage : Améliorer le Bien-être Animal</t>
  </si>
  <si>
    <t>Mounier, Luc</t>
  </si>
  <si>
    <t>https://ebookcentral.proquest.com/lib/iuavit/detail.action?docID=6978226</t>
  </si>
  <si>
    <t>Les Communs : Un Autre Récit Pour la Coopération Territoriale</t>
  </si>
  <si>
    <t>Aubert, Sigrid;Botta, Aurélie</t>
  </si>
  <si>
    <t>Environmental Studies; Science: General</t>
  </si>
  <si>
    <t>https://ebookcentral.proquest.com/lib/iuavit/detail.action?docID=6978228</t>
  </si>
  <si>
    <t>L'élevage des Grands Camélidés</t>
  </si>
  <si>
    <t>Faye, Bernard;Konuspayeva, Gaukhar;Magnan, Cécile</t>
  </si>
  <si>
    <t>Medicine; Science: Zoology</t>
  </si>
  <si>
    <t>https://ebookcentral.proquest.com/lib/iuavit/detail.action?docID=6978229</t>
  </si>
  <si>
    <t>Concept and Design Developments in School Improvement Research : Longitudinal, Multilevel and Mixed Methods and Their Relevance for Educational Accountability</t>
  </si>
  <si>
    <t>Oude Groote Beverborg, Arnoud;Feldhoff, Tobias;Maag Merki, Katharina;Radisch, Falk</t>
  </si>
  <si>
    <t>https://ebookcentral.proquest.com/lib/iuavit/detail.action?docID=6978245</t>
  </si>
  <si>
    <t>New Business Models for the Reuse of Secondary Resources from WEEEs : The FENIX Project</t>
  </si>
  <si>
    <t>Rosa, Paolo;Terzi, Sergio</t>
  </si>
  <si>
    <t>https://ebookcentral.proquest.com/lib/iuavit/detail.action?docID=6978246</t>
  </si>
  <si>
    <t>Migration Between Mexico and the United States : IMISCOE Regional Reader</t>
  </si>
  <si>
    <t>Escobar Latapí, Agustín;Masferrer, Claudia</t>
  </si>
  <si>
    <t>https://ebookcentral.proquest.com/lib/iuavit/detail.action?docID=6978249</t>
  </si>
  <si>
    <t>Microsimulation Population Projections with SAS : A Reference Guide</t>
  </si>
  <si>
    <t>Marois, Guillaume;KC, Samir</t>
  </si>
  <si>
    <t>https://ebookcentral.proquest.com/lib/iuavit/detail.action?docID=6978250</t>
  </si>
  <si>
    <t>Land Tenure Security and Sustainable Development</t>
  </si>
  <si>
    <t>Holland, Margaret B.;Masuda, Yuta J.;Robinson, Brian E.</t>
  </si>
  <si>
    <t>https://ebookcentral.proquest.com/lib/iuavit/detail.action?docID=6978251</t>
  </si>
  <si>
    <t>Making Ammonia : Fritz Haber, Walther Nernst, and the Nature of Scientific Discovery</t>
  </si>
  <si>
    <t>Johnson, Benjamin</t>
  </si>
  <si>
    <t>https://ebookcentral.proquest.com/lib/iuavit/detail.action?docID=6978253</t>
  </si>
  <si>
    <t>The Palgrave Handbook of International Energy Economics</t>
  </si>
  <si>
    <t>Hafner, Manfred;Luciani, Giacomo</t>
  </si>
  <si>
    <t>https://ebookcentral.proquest.com/lib/iuavit/detail.action?docID=6978255</t>
  </si>
  <si>
    <t>Wildland Fire Smoke in the United States : A Scientific Assessment</t>
  </si>
  <si>
    <t>Peterson, David L.;McCaffrey, Sarah M.;Patel-Weynand, Toral</t>
  </si>
  <si>
    <t>https://ebookcentral.proquest.com/lib/iuavit/detail.action?docID=6978256</t>
  </si>
  <si>
    <t>Wheat Improvement : Food Security in a Changing Climate</t>
  </si>
  <si>
    <t>Reynolds, Matthew P.;Braun, Hans-Joachim</t>
  </si>
  <si>
    <t>S494.35</t>
  </si>
  <si>
    <t>https://ebookcentral.proquest.com/lib/iuavit/detail.action?docID=6978259</t>
  </si>
  <si>
    <t>Land Use Cover Datasets and Validation Tools : Validation Practices with QGIS</t>
  </si>
  <si>
    <t>García-Álvarez, David;Camacho Olmedo, María Teresa;Paegelow, Martin;Mas, Jean-François</t>
  </si>
  <si>
    <t>https://ebookcentral.proquest.com/lib/iuavit/detail.action?docID=6978260</t>
  </si>
  <si>
    <t>Causal Mechanisms in the Global Development of Social Policies</t>
  </si>
  <si>
    <t>Kuhlmann, Johanna;Nullmeier, Frank</t>
  </si>
  <si>
    <t>https://ebookcentral.proquest.com/lib/iuavit/detail.action?docID=6978261</t>
  </si>
  <si>
    <t>From Decoding Turbulence to Unveiling the Fingerprint of Climate Change : Klaus Hasselmann--Nobel Prize Winner in Physics 2021</t>
  </si>
  <si>
    <t>von Storch, Hans</t>
  </si>
  <si>
    <t>https://ebookcentral.proquest.com/lib/iuavit/detail.action?docID=6978263</t>
  </si>
  <si>
    <t>Migration in Southern Africa : IMISCOE Regional Reader</t>
  </si>
  <si>
    <t>Rugunanan, Pragna;Xulu-Gama, Nomkhosi</t>
  </si>
  <si>
    <t>https://ebookcentral.proquest.com/lib/iuavit/detail.action?docID=6978265</t>
  </si>
  <si>
    <t>Stable Isotopes in Tree Rings : Inferring Physiological, Climatic and Environmental Responses</t>
  </si>
  <si>
    <t>Siegwolf, Rolf T. W.;Brooks, J. Renée;Roden, John;Saurer, Matthias</t>
  </si>
  <si>
    <t>https://ebookcentral.proquest.com/lib/iuavit/detail.action?docID=6978267</t>
  </si>
  <si>
    <t>Designing Data Spaces : The Ecosystem Approach to Competitive Advantage</t>
  </si>
  <si>
    <t>Otto, Boris;ten Hompel, Michael;Wrobel, Stefan</t>
  </si>
  <si>
    <t>https://ebookcentral.proquest.com/lib/iuavit/detail.action?docID=6978268</t>
  </si>
  <si>
    <t>Perspectives on Public Policy in Societal-Environmental Crises : What the Future Needs from History</t>
  </si>
  <si>
    <t>Izdebski, Adam;Haldon, John;Filipkowski, Piotr</t>
  </si>
  <si>
    <t>https://ebookcentral.proquest.com/lib/iuavit/detail.action?docID=6978270</t>
  </si>
  <si>
    <t>The Diversity of Worldviews among Young Adults : Contemporary (Non)Religiosity and Spirituality Through the Lens of an International Mixed Method Study</t>
  </si>
  <si>
    <t>Nynäs, Peter;Keysar, Ariela;Kontala, Janne;Kwaku Golo, Ben-Willie;Lassander, Mika T.;Shterin, Marat;Sjö, Sofia;Stenner, Paul</t>
  </si>
  <si>
    <t>BF51</t>
  </si>
  <si>
    <t>https://ebookcentral.proquest.com/lib/iuavit/detail.action?docID=6978273</t>
  </si>
  <si>
    <t>Emotions in Korean Philosophy and Religion : Confucian, Comparative, and Contemporary Perspectives</t>
  </si>
  <si>
    <t>Chung, Edward Y. J.;Oh, Jea Sophia</t>
  </si>
  <si>
    <t>BL1830-1883</t>
  </si>
  <si>
    <t>https://ebookcentral.proquest.com/lib/iuavit/detail.action?docID=6978274</t>
  </si>
  <si>
    <t>Gesundheit - Konventionen - Digitalisierung : Eine Politische Ökonomie der (digitalen) Transformationsprozesse Von und Um Gesundheit</t>
  </si>
  <si>
    <t>Cappel, Valeska;Kappler, Karolin Eva</t>
  </si>
  <si>
    <t>https://ebookcentral.proquest.com/lib/iuavit/detail.action?docID=6978280</t>
  </si>
  <si>
    <t>Wohnen und Gesundheit Im Alter</t>
  </si>
  <si>
    <t>Teti, Andrea;Nowossadeck, Enno;Fuchs, Judith;Künemund, Harald</t>
  </si>
  <si>
    <t>https://ebookcentral.proquest.com/lib/iuavit/detail.action?docID=6978281</t>
  </si>
  <si>
    <t>Die Zukunft Von Privatheit und Selbstbestimmung : Analysen und Empfehlungen Zum Schutz der Grundrechte in der Digitalen Welt</t>
  </si>
  <si>
    <t>Roßnagel, Alexander;Friedewald, Michael</t>
  </si>
  <si>
    <t>https://ebookcentral.proquest.com/lib/iuavit/detail.action?docID=6978283</t>
  </si>
  <si>
    <t>Diversity Nutzen und Annehmen : Praxisimplikationen Für das Diversity Management</t>
  </si>
  <si>
    <t>Genkova, Petia;Semke, Edwin;Schreiber, Henrik</t>
  </si>
  <si>
    <t>HF5548.7-5548.85</t>
  </si>
  <si>
    <t>https://ebookcentral.proquest.com/lib/iuavit/detail.action?docID=6978284</t>
  </si>
  <si>
    <t>Variable Pitot-Triebwerkseinlässe Für Kommerzielle Überschallflugzeuge : Konzeptstudie Mittels Eines Entwicklungsansatzes Für Sichere Produkte</t>
  </si>
  <si>
    <t>Kazula, Stefan</t>
  </si>
  <si>
    <t>https://ebookcentral.proquest.com/lib/iuavit/detail.action?docID=6978285</t>
  </si>
  <si>
    <t>Wohlbefinden und Gesundheit Im Jugendalter : Theoretische Perspektiven, Empirische Befunde und Praxisansätze</t>
  </si>
  <si>
    <t>Heinen, Andreas;Samuel, Robin;Vögele, Claus;Willems, Helmut</t>
  </si>
  <si>
    <t>https://ebookcentral.proquest.com/lib/iuavit/detail.action?docID=6978286</t>
  </si>
  <si>
    <t>Resilienz Durch Organisationsentwicklung : Forschung und Praxis</t>
  </si>
  <si>
    <t>https://ebookcentral.proquest.com/lib/iuavit/detail.action?docID=6978287</t>
  </si>
  <si>
    <t>,,Beyond the Wall : Game of Thrones Aus Interdisziplinärer Perspektive</t>
  </si>
  <si>
    <t>Gamper, Anna;Müller, Thomas</t>
  </si>
  <si>
    <t>https://ebookcentral.proquest.com/lib/iuavit/detail.action?docID=6978288</t>
  </si>
  <si>
    <t>Alpine Landgesellschaften Zwischen Urbanisierung und Globalisierung</t>
  </si>
  <si>
    <t>Larcher, Manuela;Schmid, Erwin</t>
  </si>
  <si>
    <t>https://ebookcentral.proquest.com/lib/iuavit/detail.action?docID=6978290</t>
  </si>
  <si>
    <t>Religionstrends in der Schweiz : Religion, Spiritualität und Säkularität Im Gesellschaftlichen Wandel</t>
  </si>
  <si>
    <t>Stolz, Jörg;Bünker, Arnd;Liedhegener, Antonius;Baumann-Neuhaus, Eva;Becci, Irene;Dandarova Robert, Zhargalma;Senn, Jeremy;Tanner, Pascal;Wäckerlig, Oliver;Winter-Pfändler, Urs</t>
  </si>
  <si>
    <t>https://ebookcentral.proquest.com/lib/iuavit/detail.action?docID=6978291</t>
  </si>
  <si>
    <t>Altern Als Zukunft - eine Studie der VolkswagenStiftung</t>
  </si>
  <si>
    <t>Lang, Frieder R.;Lessenich, Stephan;Rothermund, Klaus</t>
  </si>
  <si>
    <t>BF712-724.92</t>
  </si>
  <si>
    <t>https://ebookcentral.proquest.com/lib/iuavit/detail.action?docID=6978292</t>
  </si>
  <si>
    <t>Ressourceneffizienz und Nachhaltigkeit : Sechs Planspiele Für Die Betriebliche Weiterbildung</t>
  </si>
  <si>
    <t>Anstätt, Kerstin;Bertagnolli, Frank;Schmidt, Mario</t>
  </si>
  <si>
    <t>https://ebookcentral.proquest.com/lib/iuavit/detail.action?docID=6978294</t>
  </si>
  <si>
    <t>Kommunikation und Bildverarbeitung in der Automation : Ausgewählte Beiträge der Jahreskolloquien KommA und BVAu 2020</t>
  </si>
  <si>
    <t>https://ebookcentral.proquest.com/lib/iuavit/detail.action?docID=6978295</t>
  </si>
  <si>
    <t>Nachhaltiges Personalmanagement Als Schlüsselfaktor Für Erfolgreiches Wirtschaften : Eine Linguistische Diskursanalyse Ausgewählter Unternehmenstexte und Printmedien</t>
  </si>
  <si>
    <t>Geursen, Elisabeth</t>
  </si>
  <si>
    <t>https://ebookcentral.proquest.com/lib/iuavit/detail.action?docID=6978296</t>
  </si>
  <si>
    <t>Forest Radioecology in Fukushima : Radiocesium Dynamics, Impact, and Future</t>
  </si>
  <si>
    <t>Hashimoto, Shoji;Komatsu, Masabumi;Miura, Satoru</t>
  </si>
  <si>
    <t>https://ebookcentral.proquest.com/lib/iuavit/detail.action?docID=6978298</t>
  </si>
  <si>
    <t>Campaign Finance and Political Polarization : When Purists Prevail</t>
  </si>
  <si>
    <t>La Raja, Raymond J.;Schaffner, Brian F.</t>
  </si>
  <si>
    <t>JK1991</t>
  </si>
  <si>
    <t>324.7/8</t>
  </si>
  <si>
    <t>https://ebookcentral.proquest.com/lib/iuavit/detail.action?docID=6978299</t>
  </si>
  <si>
    <t>Liberalism and Transformation : The Global Politics of Violence and Intervention</t>
  </si>
  <si>
    <t>Tatum, Dillon S.</t>
  </si>
  <si>
    <t>JC574</t>
  </si>
  <si>
    <t>https://ebookcentral.proquest.com/lib/iuavit/detail.action?docID=6978300</t>
  </si>
  <si>
    <t>Authorship and Text-Making in Early China</t>
  </si>
  <si>
    <t>Zhang, Hanmo</t>
  </si>
  <si>
    <t>https://ebookcentral.proquest.com/lib/iuavit/detail.action?docID=6978301</t>
  </si>
  <si>
    <t>The Poetry of Cao Zhi</t>
  </si>
  <si>
    <t>Cutter, Robert Joe;Kroll, Paul W.</t>
  </si>
  <si>
    <t>895.11/2</t>
  </si>
  <si>
    <t>https://ebookcentral.proquest.com/lib/iuavit/detail.action?docID=6978302</t>
  </si>
  <si>
    <t>Public History and School : International Perspectives</t>
  </si>
  <si>
    <t>Demantowsky, Marko</t>
  </si>
  <si>
    <t>MLCM 2021/45406 (L)</t>
  </si>
  <si>
    <t>https://ebookcentral.proquest.com/lib/iuavit/detail.action?docID=6978372</t>
  </si>
  <si>
    <t>Stealing the Club from Hercules : On Imitation in Latin Poetry</t>
  </si>
  <si>
    <t>Conte, Gian Biagio</t>
  </si>
  <si>
    <t>https://ebookcentral.proquest.com/lib/iuavit/detail.action?docID=6978373</t>
  </si>
  <si>
    <t>Physics and Literature : Concepts - Transfer - Aestheticization</t>
  </si>
  <si>
    <t>https://ebookcentral.proquest.com/lib/iuavit/detail.action?docID=6978374</t>
  </si>
  <si>
    <t>Golda Meir : A Political Biography</t>
  </si>
  <si>
    <t>Medzini, Meron</t>
  </si>
  <si>
    <t>https://ebookcentral.proquest.com/lib/iuavit/detail.action?docID=6978376</t>
  </si>
  <si>
    <t>Summa Theologica Halensis: de Legibus et Praeceptis : Lateinischer Text Mit Übersetzung und Kommentar</t>
  </si>
  <si>
    <t>Halesius, Alexander;Basse, Michael</t>
  </si>
  <si>
    <t>Philosophy; Literature; Religion</t>
  </si>
  <si>
    <t>https://ebookcentral.proquest.com/lib/iuavit/detail.action?docID=6978377</t>
  </si>
  <si>
    <t>Grundfragen der Lyrikologie 1 : Lyrisches Ich, Textsubjekt, Sprecher?</t>
  </si>
  <si>
    <t>Hillebrandt, Claudia;Klimek, Sonja;Müller, Ralph;Zymner, Rüdiger</t>
  </si>
  <si>
    <t>https://ebookcentral.proquest.com/lib/iuavit/detail.action?docID=6978378</t>
  </si>
  <si>
    <t>Ikonen der Nationen : Heldendarstellungen Im Post-Sozialistischen Kroatien und Serbien</t>
  </si>
  <si>
    <t>Sabo, Klaudija</t>
  </si>
  <si>
    <t>305.89/18</t>
  </si>
  <si>
    <t>https://ebookcentral.proquest.com/lib/iuavit/detail.action?docID=6978379</t>
  </si>
  <si>
    <t>Quantitative Ansätze in Den Literatur- und Geisteswissenschaften : Systematische und Historische Perspektiven</t>
  </si>
  <si>
    <t>Bernhart, Toni;Willand, Marcus;Richter, Sandra;Albrecht, Andrea</t>
  </si>
  <si>
    <t>https://ebookcentral.proquest.com/lib/iuavit/detail.action?docID=6978380</t>
  </si>
  <si>
    <t>Converts of Conviction : Faith and Scepticism in Nineteenth Century European Jewish Society</t>
  </si>
  <si>
    <t>Ruderman, David B.</t>
  </si>
  <si>
    <t>248.2/466009224</t>
  </si>
  <si>
    <t>https://ebookcentral.proquest.com/lib/iuavit/detail.action?docID=6978381</t>
  </si>
  <si>
    <t>Indic Manuscript Cultures Through the Ages : Material, Textual, and Historical Investigations</t>
  </si>
  <si>
    <t>Vergiani, Vincenzo;Cuneo, Daniele;Formigatti, Camillo Alessio</t>
  </si>
  <si>
    <t>Literature; Social Science; History</t>
  </si>
  <si>
    <t>https://ebookcentral.proquest.com/lib/iuavit/detail.action?docID=6978383</t>
  </si>
  <si>
    <t>Hermann Kurz und Die 'Poesie der Wirklichkeit' : Studien Zum Frühwerk, Texte Aus Dem Nachlass</t>
  </si>
  <si>
    <t>Slunitschek, Matthias</t>
  </si>
  <si>
    <t>https://ebookcentral.proquest.com/lib/iuavit/detail.action?docID=6978384</t>
  </si>
  <si>
    <t>Medizinische Gutachten des 17. und 18. Jahrhunderts : Sprachhistorische Untersuchungen Zu Einer Textsortenklasse</t>
  </si>
  <si>
    <t>Lindner, Bettina</t>
  </si>
  <si>
    <t>R118.6.L56 2018</t>
  </si>
  <si>
    <t>610.1/4</t>
  </si>
  <si>
    <t>https://ebookcentral.proquest.com/lib/iuavit/detail.action?docID=6978385</t>
  </si>
  <si>
    <t>Discursive Renovatio in Lope de Vega and Calderón : Studies on Spanish Baroque Drama</t>
  </si>
  <si>
    <t>https://ebookcentral.proquest.com/lib/iuavit/detail.action?docID=6978386</t>
  </si>
  <si>
    <t>Framing Intellectual and Lived Spaces in Early South Asia : Sources and Boundaries</t>
  </si>
  <si>
    <t>den Boer, Lucas;Cecil, Elizabeth A.</t>
  </si>
  <si>
    <t>https://ebookcentral.proquest.com/lib/iuavit/detail.action?docID=6978387</t>
  </si>
  <si>
    <t>Verschmelzung Von Präposition und Artikel : Eine Kontrastive Analyse Zum Deutschen und Italienischen</t>
  </si>
  <si>
    <t>Augustin, Hagen</t>
  </si>
  <si>
    <t>https://ebookcentral.proquest.com/lib/iuavit/detail.action?docID=6978388</t>
  </si>
  <si>
    <t>Yearbook of the Maimonides Centre for Advanced Studies. 2018</t>
  </si>
  <si>
    <t>Rebiger, Bill</t>
  </si>
  <si>
    <t>https://ebookcentral.proquest.com/lib/iuavit/detail.action?docID=6978389</t>
  </si>
  <si>
    <t>The Civilising Offensive : Social and Educational Reform in 19th Century Belgium</t>
  </si>
  <si>
    <t>De Spiegeleer, Christoph</t>
  </si>
  <si>
    <t>303.409493/09034</t>
  </si>
  <si>
    <t>https://ebookcentral.proquest.com/lib/iuavit/detail.action?docID=6978390</t>
  </si>
  <si>
    <t>Europäer in der Levante - Zwischen Politik, Wissenschaft und Religion (19. -20. Jahrhundert) : Des Européens Au Levant - Entre Politique, Science et Religion (XIXe-XXe Siècles)</t>
  </si>
  <si>
    <t>Trimbur, Dominique</t>
  </si>
  <si>
    <t>https://ebookcentral.proquest.com/lib/iuavit/detail.action?docID=6978420</t>
  </si>
  <si>
    <t>Language, Nation, Race : Linguistic Reform in Meiji Japan (1868-1912)</t>
  </si>
  <si>
    <t>Ueda, Atsuko</t>
  </si>
  <si>
    <t>https://ebookcentral.proquest.com/lib/iuavit/detail.action?docID=6983584</t>
  </si>
  <si>
    <t>Multiculturalism in the British Commonwealth : Comparative Perspectives on Theory and Practice</t>
  </si>
  <si>
    <t>Ashcroft, Richard T.;Bevir, Mark</t>
  </si>
  <si>
    <t>HM1271.M84327 2017</t>
  </si>
  <si>
    <t>305.800971241/0905</t>
  </si>
  <si>
    <t>https://ebookcentral.proquest.com/lib/iuavit/detail.action?docID=6983637</t>
  </si>
  <si>
    <t>Renaissance Futurities : Science, Art, Invention</t>
  </si>
  <si>
    <t>Black, Charlene Villaseñor;Álvarez, Mari-Tere</t>
  </si>
  <si>
    <t>https://ebookcentral.proquest.com/lib/iuavit/detail.action?docID=6983699</t>
  </si>
  <si>
    <t>The Divo and the Duce : Promoting Film Stardom and Political Leadership in 1920s America</t>
  </si>
  <si>
    <t>Bertellini, Giorgio</t>
  </si>
  <si>
    <t>305.5/2</t>
  </si>
  <si>
    <t>https://ebookcentral.proquest.com/lib/iuavit/detail.action?docID=6983801</t>
  </si>
  <si>
    <t>The Emergence of Modern Hinduism : Religion on the Margins of Colonialism</t>
  </si>
  <si>
    <t>Weiss, Richard S.</t>
  </si>
  <si>
    <t>https://ebookcentral.proquest.com/lib/iuavit/detail.action?docID=6983899</t>
  </si>
  <si>
    <t>Where Truth Lies : Digital Culture and Documentary Media After 9/11</t>
  </si>
  <si>
    <t>Fallon, Kris</t>
  </si>
  <si>
    <t>https://ebookcentral.proquest.com/lib/iuavit/detail.action?docID=6983941</t>
  </si>
  <si>
    <t>The Clarion of Syria : A Patriot's Call Against the Civil War Of 1860</t>
  </si>
  <si>
    <t>al-Bustani, Butrus</t>
  </si>
  <si>
    <t>https://ebookcentral.proquest.com/lib/iuavit/detail.action?docID=6983961</t>
  </si>
  <si>
    <t>Frame by Frame : A Materialist Aesthetics of Animated Cartoons</t>
  </si>
  <si>
    <t>Frank, Hannah</t>
  </si>
  <si>
    <t>https://ebookcentral.proquest.com/lib/iuavit/detail.action?docID=6984006</t>
  </si>
  <si>
    <t>What Is a Family? : Answers from Early Modern Japan</t>
  </si>
  <si>
    <t>Berry, Mary Elizabeth;Yonemoto, Marcia</t>
  </si>
  <si>
    <t>https://ebookcentral.proquest.com/lib/iuavit/detail.action?docID=6984059</t>
  </si>
  <si>
    <t>Music of a Thousand Years : A New History of Persian Musical Traditions</t>
  </si>
  <si>
    <t>Lucas, Ann E.</t>
  </si>
  <si>
    <t>https://ebookcentral.proquest.com/lib/iuavit/detail.action?docID=6984146</t>
  </si>
  <si>
    <t>Creating the Intellectual : Chinese Communism and the Rise of a Classification</t>
  </si>
  <si>
    <t>U, Eddy</t>
  </si>
  <si>
    <t>https://ebookcentral.proquest.com/lib/iuavit/detail.action?docID=6984221</t>
  </si>
  <si>
    <t>The Saburo Hasegawa Reader</t>
  </si>
  <si>
    <t>Johnson, Mark Dean;Hart, Dakin</t>
  </si>
  <si>
    <t>https://ebookcentral.proquest.com/lib/iuavit/detail.action?docID=6984226</t>
  </si>
  <si>
    <t>Impersonations : The Artifice of Brahmin Masculinity in South Indian Dance</t>
  </si>
  <si>
    <t>Kamath, Harshita Mruthinti</t>
  </si>
  <si>
    <t>https://ebookcentral.proquest.com/lib/iuavit/detail.action?docID=6984274</t>
  </si>
  <si>
    <t>Witness to Marvels : Sufism and Literary Imagination</t>
  </si>
  <si>
    <t>Stewart, Tony K.</t>
  </si>
  <si>
    <t>https://ebookcentral.proquest.com/lib/iuavit/detail.action?docID=6984280</t>
  </si>
  <si>
    <t>The Social Question in the Twenty-First Century : A Global View</t>
  </si>
  <si>
    <t>Breman, Jan;Harris, Kevan;Lee, Ching Kwan;van der Linden, Marcel</t>
  </si>
  <si>
    <t>https://ebookcentral.proquest.com/lib/iuavit/detail.action?docID=6984282</t>
  </si>
  <si>
    <t>The Persianate World : The Frontiers of a Eurasian Lingua Franca</t>
  </si>
  <si>
    <t>Green, Nile</t>
  </si>
  <si>
    <t>491/.5509</t>
  </si>
  <si>
    <t>https://ebookcentral.proquest.com/lib/iuavit/detail.action?docID=6984340</t>
  </si>
  <si>
    <t>The Prison of Democracy : Race, Leavenworth, and the Culture of Law</t>
  </si>
  <si>
    <t>Benson, Sara M.</t>
  </si>
  <si>
    <t>365/.978138</t>
  </si>
  <si>
    <t>https://ebookcentral.proquest.com/lib/iuavit/detail.action?docID=6984343</t>
  </si>
  <si>
    <t>Louder and Faster : Pain, Joy, and the Body Politic in Asian American Taiko</t>
  </si>
  <si>
    <t>Wong, Deborah</t>
  </si>
  <si>
    <t>786.9089/956073</t>
  </si>
  <si>
    <t>https://ebookcentral.proquest.com/lib/iuavit/detail.action?docID=6984390</t>
  </si>
  <si>
    <t>Public Goods Provision in the Early Modern Economy : Comparative Perspectives from Japan, China, and Europe</t>
  </si>
  <si>
    <t>Tanimoto, Masayuki;Wong, R. Bin</t>
  </si>
  <si>
    <t>330.9/03</t>
  </si>
  <si>
    <t>https://ebookcentral.proquest.com/lib/iuavit/detail.action?docID=6984444</t>
  </si>
  <si>
    <t>Chinese Poetry and Translation : Rights and Wrongs</t>
  </si>
  <si>
    <t>Crevel, Maghiel;Klein, Lucas</t>
  </si>
  <si>
    <t>https://ebookcentral.proquest.com/lib/iuavit/detail.action?docID=6984448</t>
  </si>
  <si>
    <t>Marginal People in Deviant Places : Ethnography, Difference, and the Challenge to Scientific Racism</t>
  </si>
  <si>
    <t>Irvine, Janice M.</t>
  </si>
  <si>
    <t>https://ebookcentral.proquest.com/lib/iuavit/detail.action?docID=6986180</t>
  </si>
  <si>
    <t>How Megaprojects Are Damaging Nigeria and How to Fix It : A Practical Guide to Mastering Very Large Government Projects</t>
  </si>
  <si>
    <t>Ibrahim, Jimoh;Loch, Christoph;Sengupta, Kishore</t>
  </si>
  <si>
    <t>HF3871-3937</t>
  </si>
  <si>
    <t>https://ebookcentral.proquest.com/lib/iuavit/detail.action?docID=6986485</t>
  </si>
  <si>
    <t>Cultural Representations of Gender Vulnerability and Resistance : A Mediterranean Approach to the Anglosphere</t>
  </si>
  <si>
    <t>Romero-Ruiz, Maria Isabel;Cuder-Domínguez, Pilar</t>
  </si>
  <si>
    <t>https://ebookcentral.proquest.com/lib/iuavit/detail.action?docID=6986493</t>
  </si>
  <si>
    <t>Regularized System Identification : Learning Dynamic Models from Data</t>
  </si>
  <si>
    <t>Pillonetto, Gianluigi;Chen, Tianshi;Chiuso, Alessandro;De Nicolao, Giuseppe;Ljung, Lennart</t>
  </si>
  <si>
    <t>Q325.5-.7</t>
  </si>
  <si>
    <t>https://ebookcentral.proquest.com/lib/iuavit/detail.action?docID=6986548</t>
  </si>
  <si>
    <t>A Vehicle for Change : Popular Representations of the Automobile in 20th-Century France</t>
  </si>
  <si>
    <t>Ó Cofaigh, Éamon</t>
  </si>
  <si>
    <t>https://ebookcentral.proquest.com/lib/iuavit/detail.action?docID=6986703</t>
  </si>
  <si>
    <t>Civil and Environmental Engineering for the Sustainable Development Goals : Emerging Issues</t>
  </si>
  <si>
    <t>Antonelli, Manuela;Della Vecchia, Gabriele</t>
  </si>
  <si>
    <t>TD1-1066</t>
  </si>
  <si>
    <t>https://ebookcentral.proquest.com/lib/iuavit/detail.action?docID=6986729</t>
  </si>
  <si>
    <t>Handbook of Research on the Global View of Open Access and Scholarly Communications</t>
  </si>
  <si>
    <t>IGI Global</t>
  </si>
  <si>
    <t>Alemneh, Daniel Gelaw</t>
  </si>
  <si>
    <t>Z286.O63 G58</t>
  </si>
  <si>
    <t>https://ebookcentral.proquest.com/lib/iuavit/detail.action?docID=6987625</t>
  </si>
  <si>
    <t>Journeys Towards Intercultural Capability in Language Classrooms : Voices from Students, Teachers and Researchers</t>
  </si>
  <si>
    <t>East, Martin;Tolosa, Constanza;Howard, Jocelyn;Biebricher, Christine;Scott, Adèle</t>
  </si>
  <si>
    <t>https://ebookcentral.proquest.com/lib/iuavit/detail.action?docID=6992134</t>
  </si>
  <si>
    <t>Organization Management - Dynamic Creative Team Coordination</t>
  </si>
  <si>
    <t>Georgiades, Stavros</t>
  </si>
  <si>
    <t>https://ebookcentral.proquest.com/lib/iuavit/detail.action?docID=6995049</t>
  </si>
  <si>
    <t>Haptics: Science, Technology, Applications : 13th International Conference on Human Haptic Sensing and Touch Enabled Computer Applications, EuroHaptics 2022, Hamburg, Germany, May 22-25, 2022, Proceedings</t>
  </si>
  <si>
    <t>Seifi, Hasti;Kappers, Astrid M. L.;Schneider, Oliver;Drewing, Knut;Pacchierotti, Claudio;Abbasimoshaei, Alireza;Huisman, Gijs;Kern, Thorsten A.</t>
  </si>
  <si>
    <t>https://ebookcentral.proquest.com/lib/iuavit/detail.action?docID=6995527</t>
  </si>
  <si>
    <t>New Perspectives in Critical Data Studies : The Ambivalences of Data Power</t>
  </si>
  <si>
    <t>Hepp, Andreas;Jarke, Juliane;Kramp, Leif</t>
  </si>
  <si>
    <t>https://ebookcentral.proquest.com/lib/iuavit/detail.action?docID=6996383</t>
  </si>
  <si>
    <t>Citizen Participation in the Information Society : Comparing Participatory Channels in Urban Development</t>
  </si>
  <si>
    <t>Hovik, Sissel;Giannoumis, G. Anthony;Reichborn-Kjennerud, Kristin;Ruano, José M.;McShane, Ian;Legard, Sveinung</t>
  </si>
  <si>
    <t>https://ebookcentral.proquest.com/lib/iuavit/detail.action?docID=6996396</t>
  </si>
  <si>
    <t>Neuroökonomie : Eine Wissenschaftstheoretische Analyse</t>
  </si>
  <si>
    <t>Dreher, Lena</t>
  </si>
  <si>
    <t>https://ebookcentral.proquest.com/lib/iuavit/detail.action?docID=6997687</t>
  </si>
  <si>
    <t>Landscapes of Lifelong Learning Policies Across Europe : Comparative Case Studies</t>
  </si>
  <si>
    <t>Benasso, Sebastiano;Bouillet, Dejana;Neves, Tiago;Parreira do Amaral, Marcelo</t>
  </si>
  <si>
    <t>https://ebookcentral.proquest.com/lib/iuavit/detail.action?docID=6998216</t>
  </si>
  <si>
    <t>The Socially Responsible Organization : Lessons from COVID</t>
  </si>
  <si>
    <t>Mitroff, Ian I.</t>
  </si>
  <si>
    <t>https://ebookcentral.proquest.com/lib/iuavit/detail.action?docID=6998218</t>
  </si>
  <si>
    <t>Health Crises and Media Discourses in Sub-Saharan Africa</t>
  </si>
  <si>
    <t>Dralega, Carol Azungi;Napakol, Angella</t>
  </si>
  <si>
    <t>HM1206-1211</t>
  </si>
  <si>
    <t>https://ebookcentral.proquest.com/lib/iuavit/detail.action?docID=6998224</t>
  </si>
  <si>
    <t>Exploring Islamic Social Work : Between Community and the Common Good</t>
  </si>
  <si>
    <t>Schmid, Hansjörg;Sheikhzadegan, Amir</t>
  </si>
  <si>
    <t>https://ebookcentral.proquest.com/lib/iuavit/detail.action?docID=6998234</t>
  </si>
  <si>
    <t>Digital Platform Regulation : Global Perspectives on Internet Governance</t>
  </si>
  <si>
    <t>Flew, Terry;Martin, Fiona R.</t>
  </si>
  <si>
    <t>P95.8-.82</t>
  </si>
  <si>
    <t>https://ebookcentral.proquest.com/lib/iuavit/detail.action?docID=6998235</t>
  </si>
  <si>
    <t>Molecules in Superfluid Helium Nanodroplets : Spectroscopy, Structure, and Dynamics</t>
  </si>
  <si>
    <t>Slenczka, Alkwin;Toennies, Jan Peter</t>
  </si>
  <si>
    <t>QC173.4.A87</t>
  </si>
  <si>
    <t>https://ebookcentral.proquest.com/lib/iuavit/detail.action?docID=7001398</t>
  </si>
  <si>
    <t>Smart Cities in Asia : Regulations, Problems, and Development</t>
  </si>
  <si>
    <t>Phan, Thanh;Damian, Daniela</t>
  </si>
  <si>
    <t>Social Science; Architecture; Political Science</t>
  </si>
  <si>
    <t>https://ebookcentral.proquest.com/lib/iuavit/detail.action?docID=7001407</t>
  </si>
  <si>
    <t>The Pathway to Publishing: a Guide to Quantitative Writing in the Health Sciences</t>
  </si>
  <si>
    <t>Luby, Stephen;Southern, Dorothy L.</t>
  </si>
  <si>
    <t>https://ebookcentral.proquest.com/lib/iuavit/detail.action?docID=7002520</t>
  </si>
  <si>
    <t>Socio-Spatial Theory in Nordic Geography : Intellectual Histories and Critical Interventions</t>
  </si>
  <si>
    <t>Jakobsen, Peter;Jönsson, Erik;Larsen, Henrik Gutzon</t>
  </si>
  <si>
    <t>https://ebookcentral.proquest.com/lib/iuavit/detail.action?docID=7002610</t>
  </si>
  <si>
    <t>Integrating Science and Politics for Public Health</t>
  </si>
  <si>
    <t>Fafard, Patrick;Cassola, Adèle;de Leeuw, Evelyne</t>
  </si>
  <si>
    <t>Health; Political Science; Social Science</t>
  </si>
  <si>
    <t>https://ebookcentral.proquest.com/lib/iuavit/detail.action?docID=7002616</t>
  </si>
  <si>
    <t>Educational Theory in the 21st Century : Science, Technology, Society and Education</t>
  </si>
  <si>
    <t>Alpaydın, Yusuf;Demirli, Cihad</t>
  </si>
  <si>
    <t>https://ebookcentral.proquest.com/lib/iuavit/detail.action?docID=7002626</t>
  </si>
  <si>
    <t>Education Policies in the 21st Century : Comparative Perspectives</t>
  </si>
  <si>
    <t>Akgün, Birol;Alpaydın, Yusuf</t>
  </si>
  <si>
    <t>https://ebookcentral.proquest.com/lib/iuavit/detail.action?docID=7007371</t>
  </si>
  <si>
    <t>Printing and Prophecy : Prognostication and Media Change 1450-1550</t>
  </si>
  <si>
    <t>Green, Jonathan</t>
  </si>
  <si>
    <t>BR115</t>
  </si>
  <si>
    <t>261.5/1309409024</t>
  </si>
  <si>
    <t>https://ebookcentral.proquest.com/lib/iuavit/detail.action?docID=7007849</t>
  </si>
  <si>
    <t>Poems of the Five Mountains : An Introduction to the Literature of the Zen Monasteries</t>
  </si>
  <si>
    <t>PL3054</t>
  </si>
  <si>
    <t>https://ebookcentral.proquest.com/lib/iuavit/detail.action?docID=7007850</t>
  </si>
  <si>
    <t>Daily Life and Demographics in Ancient Japan</t>
  </si>
  <si>
    <t>Farris, William Wayne</t>
  </si>
  <si>
    <t>Business/Management; History</t>
  </si>
  <si>
    <t>HB3651</t>
  </si>
  <si>
    <t>952/.01</t>
  </si>
  <si>
    <t>https://ebookcentral.proquest.com/lib/iuavit/detail.action?docID=7007851</t>
  </si>
  <si>
    <t>Economic Exchange and Social Interaction in Southeast Asia : Perspectives from Prehistory, History, and Ethnography</t>
  </si>
  <si>
    <t>Hutterer, Karl</t>
  </si>
  <si>
    <t>https://ebookcentral.proquest.com/lib/iuavit/detail.action?docID=7007852</t>
  </si>
  <si>
    <t>Law, Liberty, and the Pursuit of Terrorism</t>
  </si>
  <si>
    <t>Douglas, Roger</t>
  </si>
  <si>
    <t>K5256</t>
  </si>
  <si>
    <t>363.325/156</t>
  </si>
  <si>
    <t>https://ebookcentral.proquest.com/lib/iuavit/detail.action?docID=7007853</t>
  </si>
  <si>
    <t>Blood Libel : The Ritual Murder Accusation at the Limit of Jewish History</t>
  </si>
  <si>
    <t>Johnson, Hannah</t>
  </si>
  <si>
    <t>BM585</t>
  </si>
  <si>
    <t>305.892/4009</t>
  </si>
  <si>
    <t>https://ebookcentral.proquest.com/lib/iuavit/detail.action?docID=7007854</t>
  </si>
  <si>
    <t>Paninian Studies : Professor S. D. Joshi Felicitation Volume</t>
  </si>
  <si>
    <t>Deshpande, Madhav;Bhate, Saroja</t>
  </si>
  <si>
    <t>PK519</t>
  </si>
  <si>
    <t>https://ebookcentral.proquest.com/lib/iuavit/detail.action?docID=7007855</t>
  </si>
  <si>
    <t>The Mertiyo Rathors of Merto, Rajasthan : Select Translations Bearing on the History of a Rajput Family, 1462-1660, Volumes 1-2</t>
  </si>
  <si>
    <t>Saran, Richard;Ziegler, Norman P.</t>
  </si>
  <si>
    <t>DS432</t>
  </si>
  <si>
    <t>https://ebookcentral.proquest.com/lib/iuavit/detail.action?docID=7007856</t>
  </si>
  <si>
    <t>Double Jeopardy : A Critique of Seven yüan Courtroom Dramas</t>
  </si>
  <si>
    <t>Perng, Ching-hsi;Ching-Hsi, Perng</t>
  </si>
  <si>
    <t>PL2384</t>
  </si>
  <si>
    <t>https://ebookcentral.proquest.com/lib/iuavit/detail.action?docID=7007857</t>
  </si>
  <si>
    <t>Rhetorical Code Studies : Discovering Arguments in and Around Code</t>
  </si>
  <si>
    <t>Brock, Kevin</t>
  </si>
  <si>
    <t>QA268</t>
  </si>
  <si>
    <t>https://ebookcentral.proquest.com/lib/iuavit/detail.action?docID=7007859</t>
  </si>
  <si>
    <t>Guns, Democracy, and the Insurrectionist Idea</t>
  </si>
  <si>
    <t>Horwitz, Joshua;Anderson, Casey</t>
  </si>
  <si>
    <t>323.4/3</t>
  </si>
  <si>
    <t>https://ebookcentral.proquest.com/lib/iuavit/detail.action?docID=7007860</t>
  </si>
  <si>
    <t>Early Start : Preschool Politics in the United States</t>
  </si>
  <si>
    <t>Karch, Andrew</t>
  </si>
  <si>
    <t>LC89</t>
  </si>
  <si>
    <t>https://ebookcentral.proquest.com/lib/iuavit/detail.action?docID=7007861</t>
  </si>
  <si>
    <t>Culture Wars and Enduring American Dilemmas</t>
  </si>
  <si>
    <t>Thomson, Irene Taviss</t>
  </si>
  <si>
    <t>HN59</t>
  </si>
  <si>
    <t>https://ebookcentral.proquest.com/lib/iuavit/detail.action?docID=7007862</t>
  </si>
  <si>
    <t>A Tanizaki Feast : The International Symposium in Venice</t>
  </si>
  <si>
    <t>Boscaro, Adriana;Chambers, Anthony</t>
  </si>
  <si>
    <t>PL839</t>
  </si>
  <si>
    <t>https://ebookcentral.proquest.com/lib/iuavit/detail.action?docID=7007863</t>
  </si>
  <si>
    <t>Swallows and Settlers : The Great Migration from North China to Manchuria</t>
  </si>
  <si>
    <t>Gottschang, Thomas;Lary, Diana</t>
  </si>
  <si>
    <t>HD5856</t>
  </si>
  <si>
    <t>https://ebookcentral.proquest.com/lib/iuavit/detail.action?docID=7007865</t>
  </si>
  <si>
    <t>Settlers of Unassigned Lands</t>
  </si>
  <si>
    <t>McLeod, Charles</t>
  </si>
  <si>
    <t>PS3613</t>
  </si>
  <si>
    <t>813/.6</t>
  </si>
  <si>
    <t>https://ebookcentral.proquest.com/lib/iuavit/detail.action?docID=7007866</t>
  </si>
  <si>
    <t>Chinese Communist Materials at the Bureau of Investigation Archives, Taiwan</t>
  </si>
  <si>
    <t>Donovan, Peter;Dorris, Carl;Dorris, Carl E.;Sullivan, Lawrence R.;Sullivan, Lawrence</t>
  </si>
  <si>
    <t>CD2291</t>
  </si>
  <si>
    <t>https://ebookcentral.proquest.com/lib/iuavit/detail.action?docID=7007867</t>
  </si>
  <si>
    <t>Christian Converts and Social Protests in Meiji Japan</t>
  </si>
  <si>
    <t>Scheiner, Irwin</t>
  </si>
  <si>
    <t>BV2628</t>
  </si>
  <si>
    <t>https://ebookcentral.proquest.com/lib/iuavit/detail.action?docID=7007868</t>
  </si>
  <si>
    <t>Transport in Transition : The Evolution of Traditional Shipping in China</t>
  </si>
  <si>
    <t>Watson, Andrew</t>
  </si>
  <si>
    <t>HE690</t>
  </si>
  <si>
    <t>https://ebookcentral.proquest.com/lib/iuavit/detail.action?docID=7007869</t>
  </si>
  <si>
    <t>Science Fiction in Argentina : Technologies of the Text in a Material Multiverse</t>
  </si>
  <si>
    <t>Page, Joanna</t>
  </si>
  <si>
    <t>PQ7707</t>
  </si>
  <si>
    <t>860.9/35882</t>
  </si>
  <si>
    <t>https://ebookcentral.proquest.com/lib/iuavit/detail.action?docID=7007871</t>
  </si>
  <si>
    <t>A Heart Beating Hard</t>
  </si>
  <si>
    <t>Goodman, Lauren Foss</t>
  </si>
  <si>
    <t>PS3607</t>
  </si>
  <si>
    <t>https://ebookcentral.proquest.com/lib/iuavit/detail.action?docID=7007872</t>
  </si>
  <si>
    <t>Two Twelfth-Century Texts on Chinese Painting</t>
  </si>
  <si>
    <t>Maeda, Robert</t>
  </si>
  <si>
    <t>ND1043</t>
  </si>
  <si>
    <t>https://ebookcentral.proquest.com/lib/iuavit/detail.action?docID=7007873</t>
  </si>
  <si>
    <t>An Index to Reproductions of Paintings by Twentieth-Century Chinese Artists</t>
  </si>
  <si>
    <t>ND1045</t>
  </si>
  <si>
    <t>https://ebookcentral.proquest.com/lib/iuavit/detail.action?docID=7007874</t>
  </si>
  <si>
    <t>Dreams for Dead Bodies : Blackness, Labor, and the Corpus of American Detective Fiction</t>
  </si>
  <si>
    <t>Robinson, Miriam Michelle</t>
  </si>
  <si>
    <t>PS374</t>
  </si>
  <si>
    <t>813/.087209</t>
  </si>
  <si>
    <t>https://ebookcentral.proquest.com/lib/iuavit/detail.action?docID=7007875</t>
  </si>
  <si>
    <t>The Linguistic Turn in Contemporary Japanese Literary Studies : Politics, Language, Textuality</t>
  </si>
  <si>
    <t>Bourdaghs, Michael K.</t>
  </si>
  <si>
    <t>895.6/09382</t>
  </si>
  <si>
    <t>https://ebookcentral.proquest.com/lib/iuavit/detail.action?docID=7007876</t>
  </si>
  <si>
    <t>This Gaming Life : Travels in Three Cities</t>
  </si>
  <si>
    <t>Rossignol, Jim</t>
  </si>
  <si>
    <t>https://ebookcentral.proquest.com/lib/iuavit/detail.action?docID=7007877</t>
  </si>
  <si>
    <t>Law and Kingship in Thailand During the Reign of King Chulalongkorn</t>
  </si>
  <si>
    <t>Engel, David</t>
  </si>
  <si>
    <t>KPT120</t>
  </si>
  <si>
    <t>https://ebookcentral.proquest.com/lib/iuavit/detail.action?docID=7007878</t>
  </si>
  <si>
    <t>Anatomizing Civil War : Studies in Lucan's Epic Technique</t>
  </si>
  <si>
    <t>Dinter, Martin</t>
  </si>
  <si>
    <t>PA6480</t>
  </si>
  <si>
    <t>https://ebookcentral.proquest.com/lib/iuavit/detail.action?docID=7007879</t>
  </si>
  <si>
    <t>Punishment and Political Order</t>
  </si>
  <si>
    <t>McBride, Keally</t>
  </si>
  <si>
    <t>HV7419</t>
  </si>
  <si>
    <t>https://ebookcentral.proquest.com/lib/iuavit/detail.action?docID=7007880</t>
  </si>
  <si>
    <t>Mongrel Nation : Diasporic Culture and the Making of Postcolonial Britain</t>
  </si>
  <si>
    <t>Dawson, Ashley</t>
  </si>
  <si>
    <t>PR120</t>
  </si>
  <si>
    <t>820.9/3552</t>
  </si>
  <si>
    <t>https://ebookcentral.proquest.com/lib/iuavit/detail.action?docID=7007881</t>
  </si>
  <si>
    <t>Ethnic Diversity and the Control of Natural Resources in Southeast Asia</t>
  </si>
  <si>
    <t>Rambo, A. Terry</t>
  </si>
  <si>
    <t>DS523</t>
  </si>
  <si>
    <t>https://ebookcentral.proquest.com/lib/iuavit/detail.action?docID=7007882</t>
  </si>
  <si>
    <t>China's Allocation of Fixed Capital Investment, 1952-1957</t>
  </si>
  <si>
    <t>https://ebookcentral.proquest.com/lib/iuavit/detail.action?docID=7007883</t>
  </si>
  <si>
    <t>Pearl from the Dragon's Mouth : Evocation of Scene and Feeling in Chinese Poetry</t>
  </si>
  <si>
    <t>Sun, Cecile</t>
  </si>
  <si>
    <t>https://ebookcentral.proquest.com/lib/iuavit/detail.action?docID=7007884</t>
  </si>
  <si>
    <t>Animal Acts : Performing Species Today</t>
  </si>
  <si>
    <t>Chaudhuri, Una;Hughes, Holly</t>
  </si>
  <si>
    <t>PN1590</t>
  </si>
  <si>
    <t>791.8/023</t>
  </si>
  <si>
    <t>https://ebookcentral.proquest.com/lib/iuavit/detail.action?docID=7007885</t>
  </si>
  <si>
    <t>The Tale of Matsura : Fujiwara Teika's Experiment in Fiction</t>
  </si>
  <si>
    <t>Lammers, Wayne</t>
  </si>
  <si>
    <t>PL790</t>
  </si>
  <si>
    <t>https://ebookcentral.proquest.com/lib/iuavit/detail.action?docID=7007886</t>
  </si>
  <si>
    <t>The Sian Incident : A Pivotal Point in Modern Chinese History</t>
  </si>
  <si>
    <t>Wu, Tien-wei</t>
  </si>
  <si>
    <t>https://ebookcentral.proquest.com/lib/iuavit/detail.action?docID=7007887</t>
  </si>
  <si>
    <t>Boundaries of the Text : Epic Performances in South and Southeast Asia</t>
  </si>
  <si>
    <t>Flueckiger, Joyce;Sears, Laurie</t>
  </si>
  <si>
    <t>PN2860</t>
  </si>
  <si>
    <t>792/.0954</t>
  </si>
  <si>
    <t>https://ebookcentral.proquest.com/lib/iuavit/detail.action?docID=7007888</t>
  </si>
  <si>
    <t>Partisan Gerrymandering and the Construction of American Democracy</t>
  </si>
  <si>
    <t>Engstrom, Erik J.</t>
  </si>
  <si>
    <t>JK1341</t>
  </si>
  <si>
    <t>https://ebookcentral.proquest.com/lib/iuavit/detail.action?docID=7007889</t>
  </si>
  <si>
    <t>The Japanese Automotive Industry : Model and Challenge for the Future?</t>
  </si>
  <si>
    <t>https://ebookcentral.proquest.com/lib/iuavit/detail.action?docID=7007891</t>
  </si>
  <si>
    <t>Publishing Blackness : Textual Constructions of Race Since 1850</t>
  </si>
  <si>
    <t>Hutchinson, George;Young, John</t>
  </si>
  <si>
    <t>https://ebookcentral.proquest.com/lib/iuavit/detail.action?docID=7007892</t>
  </si>
  <si>
    <t>The Black Musician and the White City : Race and Music in Chicago, 1900-1967</t>
  </si>
  <si>
    <t>Absher, Amy</t>
  </si>
  <si>
    <t>ML3479</t>
  </si>
  <si>
    <t>780.89/96073077311</t>
  </si>
  <si>
    <t>https://ebookcentral.proquest.com/lib/iuavit/detail.action?docID=7007893</t>
  </si>
  <si>
    <t>Industry at the Crossroads</t>
  </si>
  <si>
    <t>https://ebookcentral.proquest.com/lib/iuavit/detail.action?docID=7007894</t>
  </si>
  <si>
    <t>Consumption and Violence : Radical Protest in Cold-War West Germany</t>
  </si>
  <si>
    <t>Sedlmaier, Alexander</t>
  </si>
  <si>
    <t>HN460</t>
  </si>
  <si>
    <t>https://ebookcentral.proquest.com/lib/iuavit/detail.action?docID=7007895</t>
  </si>
  <si>
    <t>Explorations in Early Southeast Asian History : The Origins of Southeast Asian Statecraft</t>
  </si>
  <si>
    <t>Hall, Kenneth;Whitmore, John K.</t>
  </si>
  <si>
    <t>JQ96</t>
  </si>
  <si>
    <t>https://ebookcentral.proquest.com/lib/iuavit/detail.action?docID=7007896</t>
  </si>
  <si>
    <t>Social Organization in South China, 1911-1949 : The Case of Kuan Lineage in K'ai-P'ing County</t>
  </si>
  <si>
    <t>Woon, Yuen-fong</t>
  </si>
  <si>
    <t>HN740</t>
  </si>
  <si>
    <t>https://ebookcentral.proquest.com/lib/iuavit/detail.action?docID=7007897</t>
  </si>
  <si>
    <t>Japan in the World, the World in Japan : Fifty Years of Japanese Studies at Michigan</t>
  </si>
  <si>
    <t>Studies, Center for Japanese</t>
  </si>
  <si>
    <t>DS834</t>
  </si>
  <si>
    <t>https://ebookcentral.proquest.com/lib/iuavit/detail.action?docID=7007898</t>
  </si>
  <si>
    <t>Traces of the Old, Uses of the New : The Emergence of Digital Literary Studies</t>
  </si>
  <si>
    <t>Earhart, Amy E.</t>
  </si>
  <si>
    <t>PN73</t>
  </si>
  <si>
    <t>https://ebookcentral.proquest.com/lib/iuavit/detail.action?docID=7007899</t>
  </si>
  <si>
    <t>Greening China : The Benefits of Trade and Foreign Direct Investment</t>
  </si>
  <si>
    <t>Zeng, Ka;Eastin, Joshua</t>
  </si>
  <si>
    <t>GE190</t>
  </si>
  <si>
    <t>https://ebookcentral.proquest.com/lib/iuavit/detail.action?docID=7007900</t>
  </si>
  <si>
    <t>Aryan and Non-Aryan in India</t>
  </si>
  <si>
    <t>Deshpande, Madhav;Hook, Peter;Hook, Peter Edwin</t>
  </si>
  <si>
    <t>DS425</t>
  </si>
  <si>
    <t>https://ebookcentral.proquest.com/lib/iuavit/detail.action?docID=7007901</t>
  </si>
  <si>
    <t>Full Metal Jhacket</t>
  </si>
  <si>
    <t>Derby, Matthew</t>
  </si>
  <si>
    <t>PS3604</t>
  </si>
  <si>
    <t>https://ebookcentral.proquest.com/lib/iuavit/detail.action?docID=7007902</t>
  </si>
  <si>
    <t>The Kagero Diary : A Woman's Autobiographical Text from Tenth-Century Japan</t>
  </si>
  <si>
    <t>Arntzen, Sonja</t>
  </si>
  <si>
    <t>895.6/813 B</t>
  </si>
  <si>
    <t>https://ebookcentral.proquest.com/lib/iuavit/detail.action?docID=7007903</t>
  </si>
  <si>
    <t>Web Writing : Why and How for Liberal Arts Teaching and Learning</t>
  </si>
  <si>
    <t>Dougherty, Jack;O'Donnell, Tennyson</t>
  </si>
  <si>
    <t>PN171</t>
  </si>
  <si>
    <t>https://ebookcentral.proquest.com/lib/iuavit/detail.action?docID=7007904</t>
  </si>
  <si>
    <t>Veto Power : Institutional Design in the European Union</t>
  </si>
  <si>
    <t>Slapin, Jonathan</t>
  </si>
  <si>
    <t>KJE5307</t>
  </si>
  <si>
    <t>https://ebookcentral.proquest.com/lib/iuavit/detail.action?docID=7007905</t>
  </si>
  <si>
    <t>The Grand Old Man and the Great Tradition : Essays on Tanizaki Jun'ichiro in Honor of Adriana Boscaro</t>
  </si>
  <si>
    <t>Bienati, Luisa;Ruperti, Bonaventura</t>
  </si>
  <si>
    <t>895.6/344</t>
  </si>
  <si>
    <t>https://ebookcentral.proquest.com/lib/iuavit/detail.action?docID=7007906</t>
  </si>
  <si>
    <t>Salt and State : An Annotated Translation of the Songshi Salt Monopoly Treatise</t>
  </si>
  <si>
    <t>Chien, Cecilia</t>
  </si>
  <si>
    <t>HD9213</t>
  </si>
  <si>
    <t>https://ebookcentral.proquest.com/lib/iuavit/detail.action?docID=7007908</t>
  </si>
  <si>
    <t>Drones and Support for the Use of Force</t>
  </si>
  <si>
    <t>Walsh, James Igoe;Schulzke, Marcus</t>
  </si>
  <si>
    <t>UG1242</t>
  </si>
  <si>
    <t>https://ebookcentral.proquest.com/lib/iuavit/detail.action?docID=7007910</t>
  </si>
  <si>
    <t>Mammographies : The Cultural Discourses of Breast Cancer Narratives</t>
  </si>
  <si>
    <t>DeShazer, Mary K.</t>
  </si>
  <si>
    <t>RG493</t>
  </si>
  <si>
    <t>https://ebookcentral.proquest.com/lib/iuavit/detail.action?docID=7007911</t>
  </si>
  <si>
    <t>Sukeroku's Double Identity : The Dramatic Structure of Edo Kabuki</t>
  </si>
  <si>
    <t>Thornbury, Barbara</t>
  </si>
  <si>
    <t>PN2924</t>
  </si>
  <si>
    <t>https://ebookcentral.proquest.com/lib/iuavit/detail.action?docID=7007912</t>
  </si>
  <si>
    <t>Introduction to Old Javanese Language and Literature : A Kawi Prose Anthology</t>
  </si>
  <si>
    <t>Zurbuchen, Mary S.</t>
  </si>
  <si>
    <t>PL5158</t>
  </si>
  <si>
    <t>https://ebookcentral.proquest.com/lib/iuavit/detail.action?docID=7007913</t>
  </si>
  <si>
    <t>A Bibliography of Chinese Language Materials on the People's Communes</t>
  </si>
  <si>
    <t>Ma, Wei-Yi</t>
  </si>
  <si>
    <t>https://ebookcentral.proquest.com/lib/iuavit/detail.action?docID=7007914</t>
  </si>
  <si>
    <t>Towards Gender Equality in Law : An Analysis of State Failures from a Global Perspective</t>
  </si>
  <si>
    <t>Guney, Gizem;Davies, David;Lee, Po-Han</t>
  </si>
  <si>
    <t>https://ebookcentral.proquest.com/lib/iuavit/detail.action?docID=7008482</t>
  </si>
  <si>
    <t>Struggle Country : The Rural Ideal in Twentieth Century Australia</t>
  </si>
  <si>
    <t>Brodie, Mark;Davison, Graeme</t>
  </si>
  <si>
    <t>HN850.Z9C6 2005</t>
  </si>
  <si>
    <t>307.720994/0904</t>
  </si>
  <si>
    <t>https://ebookcentral.proquest.com/lib/iuavit/detail.action?docID=7009591</t>
  </si>
  <si>
    <t>The Spirit of Secular Art : A History of the Sacramental Roots of Contemporary Artistic Values</t>
  </si>
  <si>
    <t>Nelson, Robert</t>
  </si>
  <si>
    <t>N8248.S77N45 2007</t>
  </si>
  <si>
    <t>https://ebookcentral.proquest.com/lib/iuavit/detail.action?docID=7009592</t>
  </si>
  <si>
    <t>Alpine Industrial Landscapes : Towards a New Approach for Brownfield Redevelopment in Mountain Regions</t>
  </si>
  <si>
    <t>Modica, Marcello</t>
  </si>
  <si>
    <t>https://ebookcentral.proquest.com/lib/iuavit/detail.action?docID=7013142</t>
  </si>
  <si>
    <t>How to Build a Modern Tontine : Algorithms, Scripts and Tips</t>
  </si>
  <si>
    <t>Milevsky, Moshe Arye</t>
  </si>
  <si>
    <t>https://ebookcentral.proquest.com/lib/iuavit/detail.action?docID=7013146</t>
  </si>
  <si>
    <t>Resourceful Civil Society : Navigating the Changing Landscapes of Civil Society Organizations</t>
  </si>
  <si>
    <t>Kravchenko, Zhanna;Kings, Lisa;Jezierska, Katarzyna</t>
  </si>
  <si>
    <t>https://ebookcentral.proquest.com/lib/iuavit/detail.action?docID=7013184</t>
  </si>
  <si>
    <t>Women in STEM in Higher Education : Good Practices of Attraction, Access and Retainment in Higher Education</t>
  </si>
  <si>
    <t>García-Peñalvo, Francisco José;García-Holgado, Alicia;Dominguez, Angeles;Pascual, Jimena</t>
  </si>
  <si>
    <t>https://ebookcentral.proquest.com/lib/iuavit/detail.action?docID=7013930</t>
  </si>
  <si>
    <t>Learning Analytics: a Metacognitive Tool to Engage Students : Research Study</t>
  </si>
  <si>
    <t>Volungevičienė, Airina</t>
  </si>
  <si>
    <t>https://ebookcentral.proquest.com/lib/iuavit/detail.action?docID=7014256</t>
  </si>
  <si>
    <t>Handwerk in Europa : Vom Spätmittelalter Bis Zur Frühen Neuzeit</t>
  </si>
  <si>
    <t>Schulz, Knut</t>
  </si>
  <si>
    <t>https://ebookcentral.proquest.com/lib/iuavit/detail.action?docID=7014806</t>
  </si>
  <si>
    <t>Die Indirekte Kommunikation in Frankreich : Reflexionen über Die Kunst des Impliziten in der Französischen Literatur</t>
  </si>
  <si>
    <t>Bernsen, Michael</t>
  </si>
  <si>
    <t>https://ebookcentral.proquest.com/lib/iuavit/detail.action?docID=7014807</t>
  </si>
  <si>
    <t>Renaissance- und Humanistenhandschriften</t>
  </si>
  <si>
    <t>Autenrieth, Johanne;Müller-Luckner, Elisabeth</t>
  </si>
  <si>
    <t>411/.7</t>
  </si>
  <si>
    <t>https://ebookcentral.proquest.com/lib/iuavit/detail.action?docID=7014808</t>
  </si>
  <si>
    <t>Die Predigt Im 19. Jahrhundert : Kritische Bemerkungen und Praktische Winke</t>
  </si>
  <si>
    <t>Drews, Paul</t>
  </si>
  <si>
    <t>https://ebookcentral.proquest.com/lib/iuavit/detail.action?docID=7014809</t>
  </si>
  <si>
    <t>Ostasienwissenschaften : Meyer-Struckmann-Preis 2016: Florian Coulmas</t>
  </si>
  <si>
    <t>Rosar, Ulrich</t>
  </si>
  <si>
    <t>https://ebookcentral.proquest.com/lib/iuavit/detail.action?docID=7014810</t>
  </si>
  <si>
    <t>Klassische Archäologie : Meyer-Struckmann-Preis 2014: Alain Schnapp</t>
  </si>
  <si>
    <t>Bleckmann, Bruno</t>
  </si>
  <si>
    <t>https://ebookcentral.proquest.com/lib/iuavit/detail.action?docID=7014812</t>
  </si>
  <si>
    <t>Bronze Age Lives</t>
  </si>
  <si>
    <t>Harding, Anthony</t>
  </si>
  <si>
    <t>https://ebookcentral.proquest.com/lib/iuavit/detail.action?docID=7014813</t>
  </si>
  <si>
    <t>Romantik Zwischen Zwei Welten : Potsdamer Vorlesungen Zu Den Hauptwerken der Romanischen Literaturen des 19. Jahrhunderts</t>
  </si>
  <si>
    <t>https://ebookcentral.proquest.com/lib/iuavit/detail.action?docID=7014814</t>
  </si>
  <si>
    <t>Family Instructions for the Yan Clan and Other Works by Yan Zhitui (531-590s)</t>
  </si>
  <si>
    <t>Tian, Xiaofei;Kroll, Paul W.</t>
  </si>
  <si>
    <t>https://ebookcentral.proquest.com/lib/iuavit/detail.action?docID=7014815</t>
  </si>
  <si>
    <t>Neues Aus Wissenschaft und Lehre der Heinrich-Heine-Universität Düsseldorf 2010</t>
  </si>
  <si>
    <t>Piper, H. Michael</t>
  </si>
  <si>
    <t>https://ebookcentral.proquest.com/lib/iuavit/detail.action?docID=7014816</t>
  </si>
  <si>
    <t>Planning in Cold War Europe : Competition, Cooperation, Circulations (1950s-1970s)</t>
  </si>
  <si>
    <t>Christian, Michel;Kott, Sandrine;Matejka, Ondrej</t>
  </si>
  <si>
    <t>https://ebookcentral.proquest.com/lib/iuavit/detail.action?docID=7014817</t>
  </si>
  <si>
    <t>Sterben dürfen Im Krankenhaus : Paradoxien Eines ärztlichen Postulats in der Behandlung Schwerstkranker</t>
  </si>
  <si>
    <t>Behzadi, Asita</t>
  </si>
  <si>
    <t>https://ebookcentral.proquest.com/lib/iuavit/detail.action?docID=7014818</t>
  </si>
  <si>
    <t>Differential Object Marking in Romance : The Third Wave</t>
  </si>
  <si>
    <t>Kabatek, Johannes;Obrist, Philipp;Wall, Albert</t>
  </si>
  <si>
    <t>https://ebookcentral.proquest.com/lib/iuavit/detail.action?docID=7014819</t>
  </si>
  <si>
    <t>Conceptual Joining : Wood Structures from Detail to Utopia / Holzstrukturen Im Experiment</t>
  </si>
  <si>
    <t>Allner, Lukas;Kaltenbrunner, Christoph;Kröhnert, Daniela;Reinsberg, Philipp;Institute of Architecture at the University of Applied Arts Vienna;Institute of Art Sciences and Art Education at the University of Applied Arts Vienna, Institute of;Allner, Lukas;Kaltenbrunner, Christoph;Kröhnert, Daniela;Reinsberg, Philipp</t>
  </si>
  <si>
    <t>https://ebookcentral.proquest.com/lib/iuavit/detail.action?docID=7014820</t>
  </si>
  <si>
    <t>Poetic Critique : Encounters with Art and Literature</t>
  </si>
  <si>
    <t>Chaouli, Michel;Lietz, Jan;Müller-Tamm, Jutta;Schleusener, Simon</t>
  </si>
  <si>
    <t>https://ebookcentral.proquest.com/lib/iuavit/detail.action?docID=7014821</t>
  </si>
  <si>
    <t>Word Knowledge and Word Usage : A Cross-Disciplinary Guide to the Mental Lexicon</t>
  </si>
  <si>
    <t>Pirrelli, Vito;Plag, Ingo;Dressler, Wolfgang U.</t>
  </si>
  <si>
    <t>https://ebookcentral.proquest.com/lib/iuavit/detail.action?docID=7014822</t>
  </si>
  <si>
    <t>Frames Interdisziplinär: Modelle, Anwendungsfelder, Methoden</t>
  </si>
  <si>
    <t>Ziem, Alexander;Inderelst, Lars;Wulf, Detmer</t>
  </si>
  <si>
    <t>https://ebookcentral.proquest.com/lib/iuavit/detail.action?docID=7014823</t>
  </si>
  <si>
    <t>Prolegomena Zu Einer Geschichte des Begriffes Nachfolge Christi</t>
  </si>
  <si>
    <t>1895-04-01</t>
  </si>
  <si>
    <t>Bosse, Friedrich</t>
  </si>
  <si>
    <t>https://ebookcentral.proquest.com/lib/iuavit/detail.action?docID=7014824</t>
  </si>
  <si>
    <t>Erinnerungen an Rainer Maria Rilke</t>
  </si>
  <si>
    <t>Thurn und Taxis-Hohenlohe, Marie</t>
  </si>
  <si>
    <t>https://ebookcentral.proquest.com/lib/iuavit/detail.action?docID=7014825</t>
  </si>
  <si>
    <t>Medienwissenschaften : Meyer-Struckmann-Preis 2015: Winfried Schulz</t>
  </si>
  <si>
    <t>https://ebookcentral.proquest.com/lib/iuavit/detail.action?docID=7014826</t>
  </si>
  <si>
    <t>Digital Roots : Historicizing Media and Communication Concepts of the Digital Age</t>
  </si>
  <si>
    <t>Balbi, Gabriele;Ribeiro, Nelson;Schafer, Valérie;Schwarzenegger, Christian</t>
  </si>
  <si>
    <t>https://ebookcentral.proquest.com/lib/iuavit/detail.action?docID=7014827</t>
  </si>
  <si>
    <t>Opfernarrative in Transnationalen Kontexten</t>
  </si>
  <si>
    <t>Binder, Eva;Diem, Christof;Finkelstein, Miriam;Klettenhammer, Sieglinde;Mertz-Baumgartner, Birgit;Milosević, Marijana;Pröll, Julia</t>
  </si>
  <si>
    <t>https://ebookcentral.proquest.com/lib/iuavit/detail.action?docID=7014828</t>
  </si>
  <si>
    <t>Dialektik und Rhetorik Im Frühen und Hohen Mittelalter : Rezeption, Überlieferung und Gesellschaftliche Wirkung Antiker Gelehrsamkeit Vornehmlich Im 9. und 12. Jahrhundert</t>
  </si>
  <si>
    <t>Fried, Johannes</t>
  </si>
  <si>
    <t>https://ebookcentral.proquest.com/lib/iuavit/detail.action?docID=7014829</t>
  </si>
  <si>
    <t>Poetry and Truth</t>
  </si>
  <si>
    <t>Rasmussen, Dennis</t>
  </si>
  <si>
    <t>https://ebookcentral.proquest.com/lib/iuavit/detail.action?docID=7014830</t>
  </si>
  <si>
    <t>Regions in International Trade</t>
  </si>
  <si>
    <t>Umiński, Stanisław;Nazarczuk, Jarosław M.</t>
  </si>
  <si>
    <t>https://ebookcentral.proquest.com/lib/iuavit/detail.action?docID=7014831</t>
  </si>
  <si>
    <t>Shared Margins : An Ethnography with Writers in Alexandria after the Revolution</t>
  </si>
  <si>
    <t>Schielke, Samuli;Shehata, Mukhtar Saad</t>
  </si>
  <si>
    <t>https://ebookcentral.proquest.com/lib/iuavit/detail.action?docID=7014832</t>
  </si>
  <si>
    <t>Apprendre la Langue Rwanda</t>
  </si>
  <si>
    <t>Overdulve, C. M.;Gooday, M.</t>
  </si>
  <si>
    <t>https://ebookcentral.proquest.com/lib/iuavit/detail.action?docID=7014833</t>
  </si>
  <si>
    <t>World Editors : Dynamics of Global Publishing and the Latin American Case Between the Archive and the Digital Age</t>
  </si>
  <si>
    <t>Guerrero, Gustavo;Loy, Benjamin;Müller, Gesine</t>
  </si>
  <si>
    <t>https://ebookcentral.proquest.com/lib/iuavit/detail.action?docID=7014834</t>
  </si>
  <si>
    <t>Perspectives and Research on Play for Children with Disabilities : Collected Papers</t>
  </si>
  <si>
    <t>Bulgarelli, Daniela</t>
  </si>
  <si>
    <t>https://ebookcentral.proquest.com/lib/iuavit/detail.action?docID=7014835</t>
  </si>
  <si>
    <t>Olympische Statuten</t>
  </si>
  <si>
    <t>Rauball, Reinhard;Münch, Ingo von</t>
  </si>
  <si>
    <t>https://ebookcentral.proquest.com/lib/iuavit/detail.action?docID=7014836</t>
  </si>
  <si>
    <t>Education Materialised : Reconstructing Teaching and Learning Contexts Through Manuscripts</t>
  </si>
  <si>
    <t>Brinkmann, Stefanie;Ciotti, Giovanni;Valente, Stefano;Wilden, Eva Maria</t>
  </si>
  <si>
    <t>https://ebookcentral.proquest.com/lib/iuavit/detail.action?docID=7014837</t>
  </si>
  <si>
    <t>Black Boxes - Versiegelungskontexte Und Öffnungsversuche : Interdisziplinäre Perspektiven</t>
  </si>
  <si>
    <t>Geitz, Eckhard;Vater, Christian;Zimmer-Merkle, Silke</t>
  </si>
  <si>
    <t>https://ebookcentral.proquest.com/lib/iuavit/detail.action?docID=7014838</t>
  </si>
  <si>
    <t>Das Sutta Nipâta : Eine Sammlung Von Gesprächen Welche Zu Den Kanonischen Büchern der Buddhisten Gehört</t>
  </si>
  <si>
    <t>1889-04-01</t>
  </si>
  <si>
    <t>Pfungst, Arthur;Fausböll, V.;Fausböll, V.</t>
  </si>
  <si>
    <t>https://ebookcentral.proquest.com/lib/iuavit/detail.action?docID=7014839</t>
  </si>
  <si>
    <t>Laien, Wissen, Sprache : Theoretische, Methodische und Domänenspezifische Perspektiven</t>
  </si>
  <si>
    <t>Hoffmeister, Toke;Hundt, Markus;Naths, Saskia</t>
  </si>
  <si>
    <t>https://ebookcentral.proquest.com/lib/iuavit/detail.action?docID=7014840</t>
  </si>
  <si>
    <t>Krieg und Geist : Das Mißtrauen in Den Geist Als Ursache Unseres Miltärischen Versagens Zu Beginn des Weltkrieges</t>
  </si>
  <si>
    <t>Wachter, Karl von</t>
  </si>
  <si>
    <t>https://ebookcentral.proquest.com/lib/iuavit/detail.action?docID=7014841</t>
  </si>
  <si>
    <t>Stories That Make History : The Experience and Memories of the Japanese Military Comfort Girls-Women</t>
  </si>
  <si>
    <t>The Research Team of the War, The Research;Women's Human Rights Center, Women's Human;Son, Angella</t>
  </si>
  <si>
    <t>https://ebookcentral.proquest.com/lib/iuavit/detail.action?docID=7014842</t>
  </si>
  <si>
    <t>Genealogy, Archive, Image : Interpreting Dynastic History in Western India, C. 1090-2016</t>
  </si>
  <si>
    <t>Jhala, Jayasinhji</t>
  </si>
  <si>
    <t>https://ebookcentral.proquest.com/lib/iuavit/detail.action?docID=7014843</t>
  </si>
  <si>
    <t>Ausstellungskommunikation : Eine Linguistische Untersuchung Multimodaler Wissenskommunikation Im Raum</t>
  </si>
  <si>
    <t>Kesselheim, Wolfgang</t>
  </si>
  <si>
    <t>https://ebookcentral.proquest.com/lib/iuavit/detail.action?docID=7014844</t>
  </si>
  <si>
    <t>Confronting Antisemitism from Perspectives of Philosophy and Social Sciences</t>
  </si>
  <si>
    <t>https://ebookcentral.proquest.com/lib/iuavit/detail.action?docID=7014845</t>
  </si>
  <si>
    <t>Not at Your Service : Manifestos for Design</t>
  </si>
  <si>
    <t>Franke, Bjö;Matter, Hansuli</t>
  </si>
  <si>
    <t>https://ebookcentral.proquest.com/lib/iuavit/detail.action?docID=7014846</t>
  </si>
  <si>
    <t>Kirchenbild und Kircheneinheit : Der Dominikanische Tractatus Contra Graecos (1252) in Seinem Theologischen und Historischen Kontext</t>
  </si>
  <si>
    <t>Riedl, Andrea</t>
  </si>
  <si>
    <t>https://ebookcentral.proquest.com/lib/iuavit/detail.action?docID=7014847</t>
  </si>
  <si>
    <t>Vernakuläre Wissenschaftskommunikation : Beiträge Zur Entstehung und Frühgeschichte der Modernen Deutschen Wissenschaftssprachen</t>
  </si>
  <si>
    <t>Prinz, Michael;Schiewe, Jürgen</t>
  </si>
  <si>
    <t>PF3475.V47 2018</t>
  </si>
  <si>
    <t>https://ebookcentral.proquest.com/lib/iuavit/detail.action?docID=7014848</t>
  </si>
  <si>
    <t>Kritische Edition der Sahidischen Version des Johannesevangeliums : Text und Dokumentation</t>
  </si>
  <si>
    <t>Förster, Hans;Sänger-Böhm, Kerstin;Schulz, Matthias H. O.</t>
  </si>
  <si>
    <t>Coptic</t>
  </si>
  <si>
    <t>https://ebookcentral.proquest.com/lib/iuavit/detail.action?docID=7014849</t>
  </si>
  <si>
    <t>Diaspora and Disaster : Japanese Outside Japan and the Triple Catastrophy of March 2011</t>
  </si>
  <si>
    <t>Niehaus, Andreas;Tagsold, Christian</t>
  </si>
  <si>
    <t>https://ebookcentral.proquest.com/lib/iuavit/detail.action?docID=7014850</t>
  </si>
  <si>
    <t>Aus Büchern Bücher Machen : Zur Produktion und Multiplikation Von Wissen in Frühneuzeitlichen Kompilationen</t>
  </si>
  <si>
    <t>Zweifel, Simone</t>
  </si>
  <si>
    <t>https://ebookcentral.proquest.com/lib/iuavit/detail.action?docID=7014851</t>
  </si>
  <si>
    <t>La Identidad Mexicana en Libros Escolares y Narrativas : Un Enfoque Crítico y Sociocognitivo</t>
  </si>
  <si>
    <t>García Agüero, Alba Nalleli</t>
  </si>
  <si>
    <t>https://ebookcentral.proquest.com/lib/iuavit/detail.action?docID=7014852</t>
  </si>
  <si>
    <t>Parlamentarismus in Europa : Deutschland, England und Frankreich Im Vergleich</t>
  </si>
  <si>
    <t>Recker, Marie-Luise;Müller-Luckner, Elisabeth</t>
  </si>
  <si>
    <t>https://ebookcentral.proquest.com/lib/iuavit/detail.action?docID=7014853</t>
  </si>
  <si>
    <t>Emma Goldman and the Russian Revolution : From Admiration to Frustration</t>
  </si>
  <si>
    <t>335/.83092</t>
  </si>
  <si>
    <t>https://ebookcentral.proquest.com/lib/iuavit/detail.action?docID=7014854</t>
  </si>
  <si>
    <t>Bildungspraktiken der Aufklärung / Education Practices of the Enlightenment</t>
  </si>
  <si>
    <t>Pasewalck, Silke;Weber, Matthias</t>
  </si>
  <si>
    <t>https://ebookcentral.proquest.com/lib/iuavit/detail.action?docID=7014855</t>
  </si>
  <si>
    <t>Theoretische Mechanik Starrer Systeme</t>
  </si>
  <si>
    <t>Ball, Robert Stawell;Gravelius, Harry</t>
  </si>
  <si>
    <t>https://ebookcentral.proquest.com/lib/iuavit/detail.action?docID=7014856</t>
  </si>
  <si>
    <t>Die Baader-Meinhof-Gruppe</t>
  </si>
  <si>
    <t>Rauball, Reinhard</t>
  </si>
  <si>
    <t>https://ebookcentral.proquest.com/lib/iuavit/detail.action?docID=7014857</t>
  </si>
  <si>
    <t>Essays on the Arts and Sciences</t>
  </si>
  <si>
    <t>Rechcigl, Miloslav</t>
  </si>
  <si>
    <t>https://ebookcentral.proquest.com/lib/iuavit/detail.action?docID=7014859</t>
  </si>
  <si>
    <t>Funktionsprüfungen in der Herz-Kreislaufdiagnostik</t>
  </si>
  <si>
    <t>Neumann, Helmut;Boeder, Karl-Josef</t>
  </si>
  <si>
    <t>https://ebookcentral.proquest.com/lib/iuavit/detail.action?docID=7014860</t>
  </si>
  <si>
    <t>Die Chronica Pontificum Leodiensium : Eine Verlorene Quellenschrift des XIII. Jahrhunderts. Nebst Einer Probe der Wiederherstellung</t>
  </si>
  <si>
    <t>Franz, Friedrich</t>
  </si>
  <si>
    <t>https://ebookcentral.proquest.com/lib/iuavit/detail.action?docID=7014861</t>
  </si>
  <si>
    <t>Die Gewaltkriminalität in Den USA</t>
  </si>
  <si>
    <t>Middendorff, Wolf</t>
  </si>
  <si>
    <t>https://ebookcentral.proquest.com/lib/iuavit/detail.action?docID=7014862</t>
  </si>
  <si>
    <t>Die Kriminalpolitik Preußens Unter Friedrich Wilhelm I. und Friedrich II</t>
  </si>
  <si>
    <t>Schmidt, Eberhard</t>
  </si>
  <si>
    <t>https://ebookcentral.proquest.com/lib/iuavit/detail.action?docID=7014863</t>
  </si>
  <si>
    <t>Paracelsus : Historisch-Kritische Ausgabe</t>
  </si>
  <si>
    <t>Schwentner, Isabella;Fliedl, Konstanze</t>
  </si>
  <si>
    <t>https://ebookcentral.proquest.com/lib/iuavit/detail.action?docID=7014864</t>
  </si>
  <si>
    <t>Reading Cicero's Final Years : Receptions of the Post-Caesarian Works up to the Sixteenth Century - with Two Epilogues</t>
  </si>
  <si>
    <t>Pieper, Christoph;Velden, Bram van der</t>
  </si>
  <si>
    <t>937/.050924</t>
  </si>
  <si>
    <t>https://ebookcentral.proquest.com/lib/iuavit/detail.action?docID=7014865</t>
  </si>
  <si>
    <t>Wütende Texte : Die Sprache Heißen Zorns in der Deutschen Literatur des 20. Jahrhunderts</t>
  </si>
  <si>
    <t>Stumm, Alfred;Pelillo-Hestermeyer, Giulia</t>
  </si>
  <si>
    <t>https://ebookcentral.proquest.com/lib/iuavit/detail.action?docID=7014866</t>
  </si>
  <si>
    <t>Herakleios, der Schwitzende Kaiser : Die Oströmische Monarchie in der Ausgehenden Spätantike</t>
  </si>
  <si>
    <t>Viermann, Nadine</t>
  </si>
  <si>
    <t>https://ebookcentral.proquest.com/lib/iuavit/detail.action?docID=7014867</t>
  </si>
  <si>
    <t>Elemente der Funktionentheorie</t>
  </si>
  <si>
    <t>Knopp, Konrad</t>
  </si>
  <si>
    <t>https://ebookcentral.proquest.com/lib/iuavit/detail.action?docID=7014868</t>
  </si>
  <si>
    <t>Borderlines: Essays on Mapping and the Logic of Place</t>
  </si>
  <si>
    <t>Abeliovich, Ruthie;Seroussi, Edwin</t>
  </si>
  <si>
    <t>Fine Arts; Social Science; Literature</t>
  </si>
  <si>
    <t>https://ebookcentral.proquest.com/lib/iuavit/detail.action?docID=7014869</t>
  </si>
  <si>
    <t>Meaning and Grammar of Nouns and Verbs</t>
  </si>
  <si>
    <t>Gerland, Doris;Horn, Christian;Latrouite, Anja;Ortmann, Albert</t>
  </si>
  <si>
    <t>https://ebookcentral.proquest.com/lib/iuavit/detail.action?docID=7014870</t>
  </si>
  <si>
    <t>Humanidades Digitales : Miradas Hacia la Edad Media</t>
  </si>
  <si>
    <t>González, Déborah;Bermúdez Sabel, Helena</t>
  </si>
  <si>
    <t>https://ebookcentral.proquest.com/lib/iuavit/detail.action?docID=7014871</t>
  </si>
  <si>
    <t>Das 20. Jahrhundert : Sprachgeschichte - Zeitgeschichte</t>
  </si>
  <si>
    <t>Kämper, Heidrun;Schmidt, Hartmut</t>
  </si>
  <si>
    <t>https://ebookcentral.proquest.com/lib/iuavit/detail.action?docID=7014872</t>
  </si>
  <si>
    <t>Zwischen Nationalen und Transnationalen Erinnerungsnarrativen in Zentraleuropa</t>
  </si>
  <si>
    <t>Dorn, Lena;Nekula, Marek;Smyčka, Václav</t>
  </si>
  <si>
    <t>Literature; History; Social Science</t>
  </si>
  <si>
    <t>https://ebookcentral.proquest.com/lib/iuavit/detail.action?docID=7014873</t>
  </si>
  <si>
    <t>Constructions in Use</t>
  </si>
  <si>
    <t>Heinrich-Heine-Universität Düsseldorf, Heinrich-Heine-Universität</t>
  </si>
  <si>
    <t>https://ebookcentral.proquest.com/lib/iuavit/detail.action?docID=7014874</t>
  </si>
  <si>
    <t>In Integrum Restitutio und Vindicatio Utilis Bei Eigentumsübertragungen Im Klassischen Römischen Recht</t>
  </si>
  <si>
    <t>Kupisch, Berthold</t>
  </si>
  <si>
    <t>https://ebookcentral.proquest.com/lib/iuavit/detail.action?docID=7014875</t>
  </si>
  <si>
    <t>The Maghrib in the Mashriq : Knowledge, Travel and Identity</t>
  </si>
  <si>
    <t>Fierro, Maribel;Penelas, Mayte</t>
  </si>
  <si>
    <t>https://ebookcentral.proquest.com/lib/iuavit/detail.action?docID=7014876</t>
  </si>
  <si>
    <t>Powers of Protection : The Buddhist Tradition of Spells in the Dhāraṇīsaṃgraha Collections</t>
  </si>
  <si>
    <t>https://ebookcentral.proquest.com/lib/iuavit/detail.action?docID=7014877</t>
  </si>
  <si>
    <t>Bridging Formal and Conceptual Semantics : Selected Papers of BRIDGE-14</t>
  </si>
  <si>
    <t>Balogh, Kata;Petersen, Wiebke</t>
  </si>
  <si>
    <t>https://ebookcentral.proquest.com/lib/iuavit/detail.action?docID=7014878</t>
  </si>
  <si>
    <t>Paul on the Human Vocation : Reason Language in Romans and Ancient Philosophical Tradition</t>
  </si>
  <si>
    <t>Dürr, Simon</t>
  </si>
  <si>
    <t>https://ebookcentral.proquest.com/lib/iuavit/detail.action?docID=7014879</t>
  </si>
  <si>
    <t>Das Materielle Erbe des Steinkohlenbergbaus in Deutschland : Eine Handreichung Zur Dokumentation und Digitalisierung in Kleinen Sammlungen</t>
  </si>
  <si>
    <t>Siemer, Stefan</t>
  </si>
  <si>
    <t>https://ebookcentral.proquest.com/lib/iuavit/detail.action?docID=7014880</t>
  </si>
  <si>
    <t>Toscana Bilingue (1260 Ca. -1430 Ca. ) : Per una Storia Sociale Del Tradurre Medievale</t>
  </si>
  <si>
    <t>Bischetti, Sara;Lodone, Michele;Lorenzi, Cristiano;Montefusco, Antonio</t>
  </si>
  <si>
    <t>https://ebookcentral.proquest.com/lib/iuavit/detail.action?docID=7014881</t>
  </si>
  <si>
    <t>Diskurserwerb in Familie, Peergroup und Unterricht : Passungen und Teilhabechancen</t>
  </si>
  <si>
    <t>Quasthoff, Uta;Heller, Vivien;Morek, Miriam</t>
  </si>
  <si>
    <t>https://ebookcentral.proquest.com/lib/iuavit/detail.action?docID=7014882</t>
  </si>
  <si>
    <t>Talking Dialogue : Eleven Episodes in the History of the Modern Interreligious Dialogue Movement</t>
  </si>
  <si>
    <t>Lehmann, Karsten;Brodeur, Patrice</t>
  </si>
  <si>
    <t>https://ebookcentral.proquest.com/lib/iuavit/detail.action?docID=7014883</t>
  </si>
  <si>
    <t>Das Bild der Schweiz Bei Den Papstgesandten (1586-1654) : Die Ständige Nuntiatur in Luzern. Mit Einer Dokumentation Von Instruktionen und Berichten Aus Dem Geheimarchiv des Vatikans</t>
  </si>
  <si>
    <t>Galgano, Mario</t>
  </si>
  <si>
    <t>https://ebookcentral.proquest.com/lib/iuavit/detail.action?docID=7014884</t>
  </si>
  <si>
    <t>Grubengasanalyse Im Kohlenbergbau</t>
  </si>
  <si>
    <t>Kattwinkel, Robert</t>
  </si>
  <si>
    <t>Science: Chemistry; Engineering: Chemical</t>
  </si>
  <si>
    <t>https://ebookcentral.proquest.com/lib/iuavit/detail.action?docID=7014885</t>
  </si>
  <si>
    <t>Spanisch in Berlin : Einstellungen Zu Einer Globalen Sprache Als Lokale Fremdsprache</t>
  </si>
  <si>
    <t>Krämer, Philipp</t>
  </si>
  <si>
    <t>https://ebookcentral.proquest.com/lib/iuavit/detail.action?docID=7014886</t>
  </si>
  <si>
    <t>Deutsch Von Außen</t>
  </si>
  <si>
    <t>Stickel, Gerhard</t>
  </si>
  <si>
    <t>https://ebookcentral.proquest.com/lib/iuavit/detail.action?docID=7014887</t>
  </si>
  <si>
    <t>Theatre and Metatheatre : Definitions, Problems, Limits</t>
  </si>
  <si>
    <t>Paillard, Elodie;Milanezi, Silvia Sueli</t>
  </si>
  <si>
    <t>https://ebookcentral.proquest.com/lib/iuavit/detail.action?docID=7014888</t>
  </si>
  <si>
    <t>Making Black History : Diasporic Fiction in the Moment of Afropolitanism</t>
  </si>
  <si>
    <t>Haensell, Dominique</t>
  </si>
  <si>
    <t>https://ebookcentral.proquest.com/lib/iuavit/detail.action?docID=7014889</t>
  </si>
  <si>
    <t>Confronting Antisemitism in Modern Media, the Legal and Political Worlds</t>
  </si>
  <si>
    <t>305.892/4</t>
  </si>
  <si>
    <t>https://ebookcentral.proquest.com/lib/iuavit/detail.action?docID=7014890</t>
  </si>
  <si>
    <t>Das Tragische und Die Tragödie : Grundsätzliche Äußerungen Deutscher Denker und Dichter</t>
  </si>
  <si>
    <t>Hasenclever, Ludwig</t>
  </si>
  <si>
    <t>https://ebookcentral.proquest.com/lib/iuavit/detail.action?docID=7014891</t>
  </si>
  <si>
    <t>Beyond Exceptionalism : Traces of Slavery and the Slave Trade in Early Modern Germany, 1650-1850</t>
  </si>
  <si>
    <t>Mallinckrodt, Rebekka;Köstlbauer, Josef;Lentz, Sarah</t>
  </si>
  <si>
    <t>306.3/620943</t>
  </si>
  <si>
    <t>https://ebookcentral.proquest.com/lib/iuavit/detail.action?docID=7014892</t>
  </si>
  <si>
    <t>Les Américains de Paris</t>
  </si>
  <si>
    <t>Petit, Solange;Stoetzel, Jean</t>
  </si>
  <si>
    <t>https://ebookcentral.proquest.com/lib/iuavit/detail.action?docID=7014893</t>
  </si>
  <si>
    <t>Von Den Historischen Avantgarden Bis Nach der Postmoderne : Potsdamer Vorlesungen Zu Den Hauptwerken der Romanischen Literaturen des 20. und 21. Jahrhunderts</t>
  </si>
  <si>
    <t>https://ebookcentral.proquest.com/lib/iuavit/detail.action?docID=7014894</t>
  </si>
  <si>
    <t>Definiteness in a Language Without Articles - a Study on Polish</t>
  </si>
  <si>
    <t>Czardybon, Adrian</t>
  </si>
  <si>
    <t>https://ebookcentral.proquest.com/lib/iuavit/detail.action?docID=7014895</t>
  </si>
  <si>
    <t>Neues und Fremdes Im Deutschen Wortschatz : Aktueller Lexikalischer Wandel</t>
  </si>
  <si>
    <t>https://ebookcentral.proquest.com/lib/iuavit/detail.action?docID=7014896</t>
  </si>
  <si>
    <t>Evaluation of Childrens' Play : Tools and Methods</t>
  </si>
  <si>
    <t>https://ebookcentral.proquest.com/lib/iuavit/detail.action?docID=7014897</t>
  </si>
  <si>
    <t>Pacific Climate Cultures : Living Climate Change in Oceania</t>
  </si>
  <si>
    <t>Crook, Tony;Rudiak-Gould, Peter</t>
  </si>
  <si>
    <t>https://ebookcentral.proquest.com/lib/iuavit/detail.action?docID=7014898</t>
  </si>
  <si>
    <t>Using Ostraca in the Ancient World : New Discoveries and Methodologies</t>
  </si>
  <si>
    <t>Caputo, Clementina;Lougovaya, Julia</t>
  </si>
  <si>
    <t>https://ebookcentral.proquest.com/lib/iuavit/detail.action?docID=7014899</t>
  </si>
  <si>
    <t>Documentation and Argument in Early China : The Shàngshū 尚書 (Venerated Documents) and the Shū Traditions</t>
  </si>
  <si>
    <t>Meyer, Dirk</t>
  </si>
  <si>
    <t>https://ebookcentral.proquest.com/lib/iuavit/detail.action?docID=7014900</t>
  </si>
  <si>
    <t>Der Tosephtatraktat Berakot : Text, Übersetzung und Erklärung</t>
  </si>
  <si>
    <t>Holtzmann, Oscar</t>
  </si>
  <si>
    <t>https://ebookcentral.proquest.com/lib/iuavit/detail.action?docID=7014901</t>
  </si>
  <si>
    <t>Meaning, Frames, and Conceptual Representation</t>
  </si>
  <si>
    <t>Gamerschlag, Thomas;Gerland, Doris;Osswald, Rainer;Petersen, Wiebke</t>
  </si>
  <si>
    <t>https://ebookcentral.proquest.com/lib/iuavit/detail.action?docID=7014902</t>
  </si>
  <si>
    <t>Von der Makroökonomie Zum Kleinbauern : Die Wandlung der Idee Eines Gerechten Nord-Süd-Handels in der Schweizerischen Dritte-Welt-Bewegung (1964-1984)</t>
  </si>
  <si>
    <t>Franc, Andrea</t>
  </si>
  <si>
    <t>https://ebookcentral.proquest.com/lib/iuavit/detail.action?docID=7014903</t>
  </si>
  <si>
    <t>Sechs Jahre Aus Carl Burgfeld's Leben : Freundschaft, Liebe und Orden</t>
  </si>
  <si>
    <t>1793-04-01</t>
  </si>
  <si>
    <t>Demme, Herrmann Christoph Gottfried</t>
  </si>
  <si>
    <t>https://ebookcentral.proquest.com/lib/iuavit/detail.action?docID=7014904</t>
  </si>
  <si>
    <t>Orthopädie</t>
  </si>
  <si>
    <t>Neumeyer, Gerhard</t>
  </si>
  <si>
    <t>https://ebookcentral.proquest.com/lib/iuavit/detail.action?docID=7014905</t>
  </si>
  <si>
    <t>Amalthea Oder Museum der Kunstmythologie und Bildlichen Alterthumskunde</t>
  </si>
  <si>
    <t>1822-04-01</t>
  </si>
  <si>
    <t>BÖTTIGER, C. A.</t>
  </si>
  <si>
    <t>https://ebookcentral.proquest.com/lib/iuavit/detail.action?docID=7014906</t>
  </si>
  <si>
    <t>Dialogues Between Media</t>
  </si>
  <si>
    <t>Ferstl, Paul</t>
  </si>
  <si>
    <t>https://ebookcentral.proquest.com/lib/iuavit/detail.action?docID=7014907</t>
  </si>
  <si>
    <t>Friedrich Rosen : Orientalist Scholarship and International Politics</t>
  </si>
  <si>
    <t>Theilhaber, Amir</t>
  </si>
  <si>
    <t>https://ebookcentral.proquest.com/lib/iuavit/detail.action?docID=7014908</t>
  </si>
  <si>
    <t>Evaluating Interreligious Peacebuilding and Dialogue : Methods and Frameworks</t>
  </si>
  <si>
    <t>Abu-Nimer, Mohammed;Nelson, Renáta Katalin</t>
  </si>
  <si>
    <t>201/.7273</t>
  </si>
  <si>
    <t>https://ebookcentral.proquest.com/lib/iuavit/detail.action?docID=7014909</t>
  </si>
  <si>
    <t>Die Untersuchung und Konstruktion Schwieriger Raumgebilde</t>
  </si>
  <si>
    <t>Holzmüller, Gustav;Holzmüller, Gustav</t>
  </si>
  <si>
    <t>Mathematics; Science: General</t>
  </si>
  <si>
    <t>https://ebookcentral.proquest.com/lib/iuavit/detail.action?docID=7014910</t>
  </si>
  <si>
    <t>Isaac Orobio : The Jewish Argument with Dogma and Doubt</t>
  </si>
  <si>
    <t>Religion; Philosophy; History</t>
  </si>
  <si>
    <t>https://ebookcentral.proquest.com/lib/iuavit/detail.action?docID=7014911</t>
  </si>
  <si>
    <t>Prosa: Theorie, Exegese, Geschichte</t>
  </si>
  <si>
    <t>Dell'Anno, Sina;Imboden, Achim;Simon, Ralf;Trösch, Jodok;Dell'Anno, Sina;Imboden, Achim;Simon, Ralf;Trösch, Jodok</t>
  </si>
  <si>
    <t>https://ebookcentral.proquest.com/lib/iuavit/detail.action?docID=7014912</t>
  </si>
  <si>
    <t>Land, Dorf, Kehilla : ,,Landjudentum in der Deutschen und Deutsch-Jüdischen Erzählliteratur Bis 1918</t>
  </si>
  <si>
    <t>Laufer, Almut</t>
  </si>
  <si>
    <t>https://ebookcentral.proquest.com/lib/iuavit/detail.action?docID=7014913</t>
  </si>
  <si>
    <t>Gallipoli 1915/16 : Britanniens Bitterste Niederlage</t>
  </si>
  <si>
    <t>940.4/26</t>
  </si>
  <si>
    <t>https://ebookcentral.proquest.com/lib/iuavit/detail.action?docID=7014914</t>
  </si>
  <si>
    <t>Im Banne des Schachproblems : Ausgewählte Schachaufgaben und Studien</t>
  </si>
  <si>
    <t>Kraemer, A.;Zepler, E.</t>
  </si>
  <si>
    <t>Sport &amp;amp; Recreation; Mathematics</t>
  </si>
  <si>
    <t>https://ebookcentral.proquest.com/lib/iuavit/detail.action?docID=7014915</t>
  </si>
  <si>
    <t>Berliner Weltliteraturen : Internationale Literarische Beziehungen in Ost und West Nach Dem Mauerbau</t>
  </si>
  <si>
    <t>Müller-Tamm, Jutta</t>
  </si>
  <si>
    <t>https://ebookcentral.proquest.com/lib/iuavit/detail.action?docID=7014916</t>
  </si>
  <si>
    <t>Valency over Time : Diachronic Perspectives on Valency Patterns and Valency Orientation</t>
  </si>
  <si>
    <t>Luraghi, Silvia;Roma, Elisa</t>
  </si>
  <si>
    <t>https://ebookcentral.proquest.com/lib/iuavit/detail.action?docID=7014917</t>
  </si>
  <si>
    <t>Decor-Räume in Pompejanischen Stadthäusern : Ausstattungsstrategien und Rezeptionsformen</t>
  </si>
  <si>
    <t>Haug, Annette</t>
  </si>
  <si>
    <t>https://ebookcentral.proquest.com/lib/iuavit/detail.action?docID=7014918</t>
  </si>
  <si>
    <t>Die Restitution des Ullstein-Verlags (1945-52) : Remigration, Ränke, Rückgabe: der Steinige Weg Einer Berliner Traditionsfirma</t>
  </si>
  <si>
    <t>Berndt, Juliane</t>
  </si>
  <si>
    <t>https://ebookcentral.proquest.com/lib/iuavit/detail.action?docID=7014919</t>
  </si>
  <si>
    <t>Meyer-Struckmann-Preis 2013: Sir Ian Kershaw : Deutsche Geschichte Im 20. Jahrhundert</t>
  </si>
  <si>
    <t>https://ebookcentral.proquest.com/lib/iuavit/detail.action?docID=7014920</t>
  </si>
  <si>
    <t>Experimentalphysik : Mechanik</t>
  </si>
  <si>
    <t>Fischer, Thomas</t>
  </si>
  <si>
    <t>https://ebookcentral.proquest.com/lib/iuavit/detail.action?docID=7014921</t>
  </si>
  <si>
    <t>Education Innovation and Mental Health in Industrial Era 4. 0</t>
  </si>
  <si>
    <t>Maputra, Yantri</t>
  </si>
  <si>
    <t>https://ebookcentral.proquest.com/lib/iuavit/detail.action?docID=7014922</t>
  </si>
  <si>
    <t>Gefängnis Als Schwellenraum in der Byzantinischen Hagiographie : Eine Untersuchung Früh- und Mittelbyzantinischer Märtyrerakten</t>
  </si>
  <si>
    <t>Papavarnavas, Christodoulos</t>
  </si>
  <si>
    <t>https://ebookcentral.proquest.com/lib/iuavit/detail.action?docID=7014923</t>
  </si>
  <si>
    <t>Das 19. Jahrhundert : Sprachgeschichtliche Wurzeln des Heutigen Deutsch</t>
  </si>
  <si>
    <t>Wimmer, Rainer</t>
  </si>
  <si>
    <t>https://ebookcentral.proquest.com/lib/iuavit/detail.action?docID=7014924</t>
  </si>
  <si>
    <t>Das Zeitalter der Novelle in Hellas</t>
  </si>
  <si>
    <t>1870-04-01</t>
  </si>
  <si>
    <t>Erdmannsdörffer, Bernhard;Erdmannsdörffer, Bernhard</t>
  </si>
  <si>
    <t>https://ebookcentral.proquest.com/lib/iuavit/detail.action?docID=7014925</t>
  </si>
  <si>
    <t>Sujetos Del Deseo : Una Exploración Sobre la Traducción Amateur en Los años Del Panamericanismo</t>
  </si>
  <si>
    <t>Marambio, Soledad</t>
  </si>
  <si>
    <t>https://ebookcentral.proquest.com/lib/iuavit/detail.action?docID=7014926</t>
  </si>
  <si>
    <t>Die Deutsche Reformation Zwischen Spätmittelalter und Früher Neuzeit</t>
  </si>
  <si>
    <t>Brady, Thomas A.;Müller-Luckner, Elisabeth</t>
  </si>
  <si>
    <t>https://ebookcentral.proquest.com/lib/iuavit/detail.action?docID=7014927</t>
  </si>
  <si>
    <t>https://ebookcentral.proquest.com/lib/iuavit/detail.action?docID=7014928</t>
  </si>
  <si>
    <t>Existentialismus In Österreich : Kultureller Transfer und Literarische Resonanz</t>
  </si>
  <si>
    <t>Werner, Juliane</t>
  </si>
  <si>
    <t>Philosophy; History; Literature</t>
  </si>
  <si>
    <t>https://ebookcentral.proquest.com/lib/iuavit/detail.action?docID=7014929</t>
  </si>
  <si>
    <t>English Formal Satire : Elizabethan to Augustan</t>
  </si>
  <si>
    <t>Powers, Doris C.</t>
  </si>
  <si>
    <t>https://ebookcentral.proquest.com/lib/iuavit/detail.action?docID=7014930</t>
  </si>
  <si>
    <t>Was Vom Himmel Kommt : Stoffanalytische Zugänge Zu Antiken Mythen Aus Mesopotamien, Ägypten, Griechenland und Rom</t>
  </si>
  <si>
    <t>Gabriel, Gösta Ingvar;Kärger, Brit;Zgoll, Annette;Zgoll, Christian;Gabriel, Gösta;Kärger, Brit;Zgoll, Annette;Zgoll, Christian</t>
  </si>
  <si>
    <t>https://ebookcentral.proquest.com/lib/iuavit/detail.action?docID=7014931</t>
  </si>
  <si>
    <t>Psychobiologie der Volksseuche Neurose</t>
  </si>
  <si>
    <t>Lungwitz, Hans</t>
  </si>
  <si>
    <t>https://ebookcentral.proquest.com/lib/iuavit/detail.action?docID=7014932</t>
  </si>
  <si>
    <t>Marriage Discourses : Historical and Literary Perspectives on Gender Inequality and Patriarchic Exploitation</t>
  </si>
  <si>
    <t>Mohammed, Jowan A.;Jacob, Frank</t>
  </si>
  <si>
    <t>https://ebookcentral.proquest.com/lib/iuavit/detail.action?docID=7014933</t>
  </si>
  <si>
    <t>Grundzüge der Prosasyntax : Stilprägende Entwicklungen Vom Althochdeutschen Zum Neuhochdeutschen</t>
  </si>
  <si>
    <t>Betten, Anne</t>
  </si>
  <si>
    <t>435/.09</t>
  </si>
  <si>
    <t>https://ebookcentral.proquest.com/lib/iuavit/detail.action?docID=7014934</t>
  </si>
  <si>
    <t>Sprache - Sprachwissenschaft - Öffentlichkeit</t>
  </si>
  <si>
    <t>https://ebookcentral.proquest.com/lib/iuavit/detail.action?docID=7014935</t>
  </si>
  <si>
    <t>Jahrbuch der Heinrich-Heine-Universität Düsseldorf 2007/2008</t>
  </si>
  <si>
    <t>Rektor der Heinrich-Heine-Universität Düsseldorf, Rektor der</t>
  </si>
  <si>
    <t>https://ebookcentral.proquest.com/lib/iuavit/detail.action?docID=7014936</t>
  </si>
  <si>
    <t>Bildzensur : Löschung Technischer Bilder</t>
  </si>
  <si>
    <t>Müller-Helle, Katja</t>
  </si>
  <si>
    <t>https://ebookcentral.proquest.com/lib/iuavit/detail.action?docID=7014937</t>
  </si>
  <si>
    <t>Kasus Im Korpus : Zu Struktur und Geographie Oberdeutscher Kasusmorphologie</t>
  </si>
  <si>
    <t>Ellsäßer, Sophie</t>
  </si>
  <si>
    <t>https://ebookcentral.proquest.com/lib/iuavit/detail.action?docID=7014938</t>
  </si>
  <si>
    <t>Die Fragmentierte Stadt : Exklusion und Teilhabe Im öffentlichen Raum</t>
  </si>
  <si>
    <t>Jovis Verlag GmbH</t>
  </si>
  <si>
    <t>Krusche, Jürgen;Domenig, Aya;Schärer, Thomas;Weber, Julia</t>
  </si>
  <si>
    <t>Social Science; Architecture</t>
  </si>
  <si>
    <t>https://ebookcentral.proquest.com/lib/iuavit/detail.action?docID=7014939</t>
  </si>
  <si>
    <t>New Libraries in Old Buildings : Creative Reuse</t>
  </si>
  <si>
    <t>Hauke, Petra;Latimer, Karen;Niess, Robert</t>
  </si>
  <si>
    <t>Architecture; Library Science</t>
  </si>
  <si>
    <t>https://ebookcentral.proquest.com/lib/iuavit/detail.action?docID=7014940</t>
  </si>
  <si>
    <t>Language Activism : Imaginaries and Strategies of Minority Language Equality</t>
  </si>
  <si>
    <t>De Korne, Haley</t>
  </si>
  <si>
    <t>https://ebookcentral.proquest.com/lib/iuavit/detail.action?docID=7014941</t>
  </si>
  <si>
    <t>Schleiermacher's Briefe an Brinckmann : Briefwechsel Mit Seinen Freunden Von Seiner Uebersiedlung Nach Halle Bis Zu Seinem Tode. Denkschriften. Dialog über das Anständige. Recensionen</t>
  </si>
  <si>
    <t>1863-04-01</t>
  </si>
  <si>
    <t>Jonas, Ludwig;Dilthey, Wilhelm</t>
  </si>
  <si>
    <t>https://ebookcentral.proquest.com/lib/iuavit/detail.action?docID=7014942</t>
  </si>
  <si>
    <t>Approaches in Tourism Modelling : Collected Papers</t>
  </si>
  <si>
    <t>Sergo, Zdravko;Gržinić, Jasmina;Afrić Rakitovac, Kristina;Kostić Bobanović, Moira</t>
  </si>
  <si>
    <t>https://ebookcentral.proquest.com/lib/iuavit/detail.action?docID=7014943</t>
  </si>
  <si>
    <t>Die Kaufkraft des Geldes : Ihre Bestimmung und Ihre Beziehung Zu Kredit, Zins und Krisen</t>
  </si>
  <si>
    <t>Fisher, Irving;Bauer, St.;Stecker, Ida</t>
  </si>
  <si>
    <t>https://ebookcentral.proquest.com/lib/iuavit/detail.action?docID=7014944</t>
  </si>
  <si>
    <t>Landscape Impact Assessment in Planning Processes</t>
  </si>
  <si>
    <t>Belčáková, Ingrid;Gazzola, Paola;Pauditsová, Eva</t>
  </si>
  <si>
    <t>Environmental Studies; Agriculture; Engineering: Chemical</t>
  </si>
  <si>
    <t>https://ebookcentral.proquest.com/lib/iuavit/detail.action?docID=7014945</t>
  </si>
  <si>
    <t>Wieland und das Drama</t>
  </si>
  <si>
    <t>Marx, Emilie</t>
  </si>
  <si>
    <t>https://ebookcentral.proquest.com/lib/iuavit/detail.action?docID=7014946</t>
  </si>
  <si>
    <t>Traumaticismus und Infection : Nach Einer Rede, Gehalten in der Ersten Allgemeinen Sitzung des XIII. Internationalen Medicinischen Congresses Zu Paris Am 2. August 1900</t>
  </si>
  <si>
    <t>Virchow, Rudolf</t>
  </si>
  <si>
    <t>https://ebookcentral.proquest.com/lib/iuavit/detail.action?docID=7014947</t>
  </si>
  <si>
    <t>Diversity Dimensions in Mathematics and Language Learning : Perspectives on Culture, Education and Multilingualism</t>
  </si>
  <si>
    <t>Fritz, Annemarie;Gürsoy, Erkan;Herzog, Moritz</t>
  </si>
  <si>
    <t>https://ebookcentral.proquest.com/lib/iuavit/detail.action?docID=7014948</t>
  </si>
  <si>
    <t>A Lecture on Russian History</t>
  </si>
  <si>
    <t>Karpovich, Michael;Lunt, Horace C.</t>
  </si>
  <si>
    <t>https://ebookcentral.proquest.com/lib/iuavit/detail.action?docID=7014949</t>
  </si>
  <si>
    <t>Creative Selection Between Emending and Forming Medieval Memory</t>
  </si>
  <si>
    <t>Scholz, Sebastian;Schwedler, Gerald</t>
  </si>
  <si>
    <t>https://ebookcentral.proquest.com/lib/iuavit/detail.action?docID=7014950</t>
  </si>
  <si>
    <t>Der Zweite Weltkrieg in Postsozialistischen Gedenkmuseen : Geschichtspolitik Zwischen der ,Anrufung Europas' und Dem Fokus Auf ,unser' Leid</t>
  </si>
  <si>
    <t>Radonić, Ljiljana</t>
  </si>
  <si>
    <t>History; Social Science; Museums</t>
  </si>
  <si>
    <t>https://ebookcentral.proquest.com/lib/iuavit/detail.action?docID=7014951</t>
  </si>
  <si>
    <t>Einleitung in Die Philosophie : Eine Übung des Geistes</t>
  </si>
  <si>
    <t>Bense, Max</t>
  </si>
  <si>
    <t>https://ebookcentral.proquest.com/lib/iuavit/detail.action?docID=7014952</t>
  </si>
  <si>
    <t>Degree Gradation of Verbs</t>
  </si>
  <si>
    <t>Fleischhauer-Helfer, Jens</t>
  </si>
  <si>
    <t>https://ebookcentral.proquest.com/lib/iuavit/detail.action?docID=7014953</t>
  </si>
  <si>
    <t>Kriminologie : Standpunkte und Probleme</t>
  </si>
  <si>
    <t>Schneider, Hans Joachim</t>
  </si>
  <si>
    <t>https://ebookcentral.proquest.com/lib/iuavit/detail.action?docID=7014954</t>
  </si>
  <si>
    <t>Kaiserhaus, Staatsmänner und Politiker : Aufzeichnungen des K. K. Statthalters Erich Graf Kielmansegg</t>
  </si>
  <si>
    <t>Kielmansegg, Erich;Walter, Goldinger</t>
  </si>
  <si>
    <t>https://ebookcentral.proquest.com/lib/iuavit/detail.action?docID=7014955</t>
  </si>
  <si>
    <t>Dictionnaire Historique de L'adjectif-Adverbe</t>
  </si>
  <si>
    <t>Hummel, Martin;Gazdik, Anna</t>
  </si>
  <si>
    <t>https://ebookcentral.proquest.com/lib/iuavit/detail.action?docID=7014956</t>
  </si>
  <si>
    <t>Untersuchungen über Ulrich Fürtrers Dichtung Von Dem Gral und der Tafelrunde, 1 : Zur Metrik und Grammatik, Stil und Darstellungsweise</t>
  </si>
  <si>
    <t>1882-04-01</t>
  </si>
  <si>
    <t>Hamburger, Paul</t>
  </si>
  <si>
    <t>https://ebookcentral.proquest.com/lib/iuavit/detail.action?docID=7014957</t>
  </si>
  <si>
    <t>Bilddenken und Morphologie : Interdisziplinäre Studien über Form und Bilder Im Philosophischen und Wissenschaftlichen Denken</t>
  </si>
  <si>
    <t>Follesa, Laura;Vercellone, Federico</t>
  </si>
  <si>
    <t>https://ebookcentral.proquest.com/lib/iuavit/detail.action?docID=7014958</t>
  </si>
  <si>
    <t>Laienfrömmigkeit Im Späten Mittelalter : Formen, Funktionen, Politisch-Soziale Zusammenhänge</t>
  </si>
  <si>
    <t>Schreiner, Klaus;Müller-Luckner, Elisabeth</t>
  </si>
  <si>
    <t>https://ebookcentral.proquest.com/lib/iuavit/detail.action?docID=7014959</t>
  </si>
  <si>
    <t>Paragesellschaften : Imaginationen - Inszenierungen - Interaktionen in Den Gegenwartskulturen</t>
  </si>
  <si>
    <t>Hiergeist, Teresa;Bidmon, Agnes;Broders, Simone;Gerund, Katharina</t>
  </si>
  <si>
    <t>https://ebookcentral.proquest.com/lib/iuavit/detail.action?docID=7014960</t>
  </si>
  <si>
    <t>Über Den Begriff der Ironie : Mit Ständiger Rücksicht Auf Sokrates</t>
  </si>
  <si>
    <t>Kierkegaard, Sören;Schaeder, Heinrich</t>
  </si>
  <si>
    <t>https://ebookcentral.proquest.com/lib/iuavit/detail.action?docID=7014961</t>
  </si>
  <si>
    <t>Kunstgeschichte und Kunsttheorie Im 19. Jahrhundert</t>
  </si>
  <si>
    <t>Bauer, Hermann;Dittmann, Lorenz</t>
  </si>
  <si>
    <t>https://ebookcentral.proquest.com/lib/iuavit/detail.action?docID=7014962</t>
  </si>
  <si>
    <t>Occult Roots of Religious Studies : On the Influence of Non-Hegemonic Currents on Academia Around 1900</t>
  </si>
  <si>
    <t>Mühlematter, Yves;Zander, Helmut</t>
  </si>
  <si>
    <t>https://ebookcentral.proquest.com/lib/iuavit/detail.action?docID=7014963</t>
  </si>
  <si>
    <t>Laienpotential, Patientenaktivierung und Gesundheitsselbsthilfe</t>
  </si>
  <si>
    <t>Ferber, Christian von</t>
  </si>
  <si>
    <t>https://ebookcentral.proquest.com/lib/iuavit/detail.action?docID=7014964</t>
  </si>
  <si>
    <t>The Poetry of Meng Haoran</t>
  </si>
  <si>
    <t>Kroll, Paul W.;Owen, Stephen</t>
  </si>
  <si>
    <t>https://ebookcentral.proquest.com/lib/iuavit/detail.action?docID=7014965</t>
  </si>
  <si>
    <t>The Politics of Service : US-Amerikanische Quäker und Internationale Humanitäre Hilfe 1917-1945</t>
  </si>
  <si>
    <t>https://ebookcentral.proquest.com/lib/iuavit/detail.action?docID=7014966</t>
  </si>
  <si>
    <t>Cultures and Traditions of Wordplay and Wordplay Research</t>
  </si>
  <si>
    <t>Winter-Froemel, Esme;Thaler, Verena</t>
  </si>
  <si>
    <t>https://ebookcentral.proquest.com/lib/iuavit/detail.action?docID=7014967</t>
  </si>
  <si>
    <t>Anachronismus und Aktualisierung in Ovids Metamorphosen : Eine Ästhetik Uneigentlicher Zeitlichkeit</t>
  </si>
  <si>
    <t>Geitner, Philipp</t>
  </si>
  <si>
    <t>https://ebookcentral.proquest.com/lib/iuavit/detail.action?docID=7014968</t>
  </si>
  <si>
    <t>Leibniz</t>
  </si>
  <si>
    <t>Huber, Kurt</t>
  </si>
  <si>
    <t>https://ebookcentral.proquest.com/lib/iuavit/detail.action?docID=7014969</t>
  </si>
  <si>
    <t>Novalis, der Romantiker</t>
  </si>
  <si>
    <t>Heilborn, Ernst</t>
  </si>
  <si>
    <t>https://ebookcentral.proquest.com/lib/iuavit/detail.action?docID=7014970</t>
  </si>
  <si>
    <t>Political Economy of Environment. Problems of Method : Papers Presented at the Symposium Held at the Maisons des Sciences de l'Homme, Paris, 5-8 July 1971</t>
  </si>
  <si>
    <t>https://ebookcentral.proquest.com/lib/iuavit/detail.action?docID=7014971</t>
  </si>
  <si>
    <t>Beiträge Zur Geschichte Ägyptens Unter Dem Islam</t>
  </si>
  <si>
    <t>Becker, Carl H.</t>
  </si>
  <si>
    <t>https://ebookcentral.proquest.com/lib/iuavit/detail.action?docID=7014972</t>
  </si>
  <si>
    <t>Sprachen, Völker und Phantome : Sprach- und Kulturwissenschaftliche Studien Zur Ethnizität</t>
  </si>
  <si>
    <t>Mumm, Peter-Arnold</t>
  </si>
  <si>
    <t>https://ebookcentral.proquest.com/lib/iuavit/detail.action?docID=7014973</t>
  </si>
  <si>
    <t>Tracing and Documenting Nazi Victims Past and Present</t>
  </si>
  <si>
    <t>Arolsen Archives, Arolsen;Borggräfe, Henning;Höschler, Christian;Panek, Isabel</t>
  </si>
  <si>
    <t>https://ebookcentral.proquest.com/lib/iuavit/detail.action?docID=7014974</t>
  </si>
  <si>
    <t>Crossing Experiences in Digital Epigraphy : From Practice to Discipline</t>
  </si>
  <si>
    <t>De Santis, Annamaria;Rossi, Irene</t>
  </si>
  <si>
    <t>https://ebookcentral.proquest.com/lib/iuavit/detail.action?docID=7014975</t>
  </si>
  <si>
    <t>Kürschners Graphiker-Handbuch : Deutschland, Österreich, Schweiz. Graphiker, Illustratoren, Karikaturisten, Gebrauchsgraphiker, Typographen, Buchgestalter</t>
  </si>
  <si>
    <t>Kürschner, Joseph;Fergg-Frowein, Charlotte</t>
  </si>
  <si>
    <t>https://ebookcentral.proquest.com/lib/iuavit/detail.action?docID=7014976</t>
  </si>
  <si>
    <t>Der Kampf Um Chinas Kollektives Gedächtnis : Offizielle und Inoffizielle Narrative Zur Kampagne Gegen Rechtsabweichler (1957-58)</t>
  </si>
  <si>
    <t>Blanke, Anja</t>
  </si>
  <si>
    <t>https://ebookcentral.proquest.com/lib/iuavit/detail.action?docID=7014977</t>
  </si>
  <si>
    <t>Successes and Failures in EU Cohesion Policy: an Introduction to EU Cohesion Policy in Eastern, Central, and Southern Europe</t>
  </si>
  <si>
    <t>Musiałkowska, Ida;Idczak, Piotr;Potluka, Oto</t>
  </si>
  <si>
    <t>https://ebookcentral.proquest.com/lib/iuavit/detail.action?docID=7014978</t>
  </si>
  <si>
    <t>Subjektive und Objektive Zeit : Aristoteles und Die Moderne Zeit-Theorie</t>
  </si>
  <si>
    <t>Detel, Wolfgang</t>
  </si>
  <si>
    <t>https://ebookcentral.proquest.com/lib/iuavit/detail.action?docID=7014979</t>
  </si>
  <si>
    <t>Aufklärung Zwischen Zwei Welten : Potsdamer Vorlesungen Zu Den Hauptwerken der Romanischen Literaturen des 18. Jahrhunderts</t>
  </si>
  <si>
    <t>https://ebookcentral.proquest.com/lib/iuavit/detail.action?docID=7014980</t>
  </si>
  <si>
    <t>Der Sinn der Humanistischen Bildung</t>
  </si>
  <si>
    <t>Boehm, Max Hildebert</t>
  </si>
  <si>
    <t>https://ebookcentral.proquest.com/lib/iuavit/detail.action?docID=7014981</t>
  </si>
  <si>
    <t>Regional Development. Experiences and Prospects in Eastern Europe</t>
  </si>
  <si>
    <t>Mihailovič, Kosta</t>
  </si>
  <si>
    <t>https://ebookcentral.proquest.com/lib/iuavit/detail.action?docID=7014982</t>
  </si>
  <si>
    <t>Rotes Licht : Jugoslawische Partisanenfotografie. Bilder Einer Sozialen Bewegung, 1941-1945</t>
  </si>
  <si>
    <t>Konjikusić, Davor;Rosa-Luxemburg-Stiftung</t>
  </si>
  <si>
    <t>https://ebookcentral.proquest.com/lib/iuavit/detail.action?docID=7014983</t>
  </si>
  <si>
    <t>Elemente der Antiken Erzähltheorie</t>
  </si>
  <si>
    <t>Feddern, Stefan</t>
  </si>
  <si>
    <t>https://ebookcentral.proquest.com/lib/iuavit/detail.action?docID=7014984</t>
  </si>
  <si>
    <t>Metaphysik des Mittelalters</t>
  </si>
  <si>
    <t>Dempf, Alois</t>
  </si>
  <si>
    <t>https://ebookcentral.proquest.com/lib/iuavit/detail.action?docID=7014985</t>
  </si>
  <si>
    <t>Cultural Sovereignty Beyond the Modern State : Space, Objects, and Media</t>
  </si>
  <si>
    <t>Feindt, Gregor;Gissibl, Bernhard;Paulmann, Johannes</t>
  </si>
  <si>
    <t>https://ebookcentral.proquest.com/lib/iuavit/detail.action?docID=7014986</t>
  </si>
  <si>
    <t>Karl Gutzkow und der Demokratische Gedanke</t>
  </si>
  <si>
    <t>Maenner, Ludwig</t>
  </si>
  <si>
    <t>https://ebookcentral.proquest.com/lib/iuavit/detail.action?docID=7014987</t>
  </si>
  <si>
    <t>Häusliche Andachten</t>
  </si>
  <si>
    <t>1814-04-01</t>
  </si>
  <si>
    <t>Fink, Gottfried Wilhelm</t>
  </si>
  <si>
    <t>https://ebookcentral.proquest.com/lib/iuavit/detail.action?docID=7014988</t>
  </si>
  <si>
    <t>Vorlesungen über Die Naturlehre Für Leser, Denen Es an Mathematischen Vorkenntnissen Fehlt</t>
  </si>
  <si>
    <t>1844-04-01</t>
  </si>
  <si>
    <t>Brandes, H. W.;Michaelis, W. J. H. [Bearb. ]</t>
  </si>
  <si>
    <t>https://ebookcentral.proquest.com/lib/iuavit/detail.action?docID=7014989</t>
  </si>
  <si>
    <t>The Role of Value in Karl Mannheims Sociology of Knowledge</t>
  </si>
  <si>
    <t>Rempel, F. Warren</t>
  </si>
  <si>
    <t>Social Science; Philosophy; Language/Linguistics</t>
  </si>
  <si>
    <t>https://ebookcentral.proquest.com/lib/iuavit/detail.action?docID=7014990</t>
  </si>
  <si>
    <t>Sachtypologie der Landfahrzeuge : Ein Beitrag Zu Ihrer Entstehung, Entwicklung und Verbreitung</t>
  </si>
  <si>
    <t>Putschke, Wolfgang</t>
  </si>
  <si>
    <t>History; Engineering: General; Agriculture</t>
  </si>
  <si>
    <t>https://ebookcentral.proquest.com/lib/iuavit/detail.action?docID=7014991</t>
  </si>
  <si>
    <t>Perspectives énergétiques Dans l'industrie des Ciments</t>
  </si>
  <si>
    <t>Meyzenc, René;Meyzenc, René</t>
  </si>
  <si>
    <t>https://ebookcentral.proquest.com/lib/iuavit/detail.action?docID=7014992</t>
  </si>
  <si>
    <t>Bücherkunde Zur Deutschen Geschichte</t>
  </si>
  <si>
    <t>Franz, Günther</t>
  </si>
  <si>
    <t>https://ebookcentral.proquest.com/lib/iuavit/detail.action?docID=7014993</t>
  </si>
  <si>
    <t>A Bridgehead to Africa : German Interest in the Ottoman Province of Tripoli (Libya) 1884-1918</t>
  </si>
  <si>
    <t>Alghafal, Suaad</t>
  </si>
  <si>
    <t>https://ebookcentral.proquest.com/lib/iuavit/detail.action?docID=7014994</t>
  </si>
  <si>
    <t>Gesellschaft und Bildende Kunst : Eine Studie Zur Wiederherstellung des Problems</t>
  </si>
  <si>
    <t>Rassem, Mohammed</t>
  </si>
  <si>
    <t>https://ebookcentral.proquest.com/lib/iuavit/detail.action?docID=7014995</t>
  </si>
  <si>
    <t>Was Macht Die Digitalisierung Mit Den Hochschulen? : Einwürfe und Provokationen</t>
  </si>
  <si>
    <t>Demantowsky, Marko;Lauer, Gerhard;Schmidt, Robin;te Wildt, Bert</t>
  </si>
  <si>
    <t>Social Science; Computer Science/IT; Science: General</t>
  </si>
  <si>
    <t>https://ebookcentral.proquest.com/lib/iuavit/detail.action?docID=7014996</t>
  </si>
  <si>
    <t>Die Macht des Seelischen : Eine Organische Psychologie Als Lebensorientierung des Einzelnen und der Gesamtheit</t>
  </si>
  <si>
    <t>Braun, Hans</t>
  </si>
  <si>
    <t>https://ebookcentral.proquest.com/lib/iuavit/detail.action?docID=7014997</t>
  </si>
  <si>
    <t>Mittheilungen über Die in Oberschlesien Herrschende Typhus-Epidemie</t>
  </si>
  <si>
    <t>1848-04-01</t>
  </si>
  <si>
    <t>https://ebookcentral.proquest.com/lib/iuavit/detail.action?docID=7014998</t>
  </si>
  <si>
    <t>Das Rohrnetz Städtischer Wasserwerke : Berechnung, Bau, Betrieb</t>
  </si>
  <si>
    <t>Brinkhaus, H. P.</t>
  </si>
  <si>
    <t>Engineering: General</t>
  </si>
  <si>
    <t>https://ebookcentral.proquest.com/lib/iuavit/detail.action?docID=7014999</t>
  </si>
  <si>
    <t>Revolution und Gegenrevolution 1789-1830 : Zur Geistigen Auseinandersetzung in Frankreich und Deutschland</t>
  </si>
  <si>
    <t>Dufraisse, Roger;Müller-Luckner, Elisabeth</t>
  </si>
  <si>
    <t>https://ebookcentral.proquest.com/lib/iuavit/detail.action?docID=7015000</t>
  </si>
  <si>
    <t>Deutsche Gegenwartssprache : Tendenzen und Perspektiven</t>
  </si>
  <si>
    <t>https://ebookcentral.proquest.com/lib/iuavit/detail.action?docID=7015001</t>
  </si>
  <si>
    <t>Grundriss der Physik : Für Ingenieurschulen und Technische Schulen Sowie Zum Selbststudium</t>
  </si>
  <si>
    <t>Kleiber, Johann</t>
  </si>
  <si>
    <t>https://ebookcentral.proquest.com/lib/iuavit/detail.action?docID=7015002</t>
  </si>
  <si>
    <t>Die Strahlungsverhältnisse Im Beheizten Wohnraum : Mit Berechnung der Einstrahlzahlen in der Heiz-, Beleuchtungs- und Feuerungstechnik (Winkelverhältnisse Im Parallelepipedon)</t>
  </si>
  <si>
    <t>Kollmar, Albrecht</t>
  </si>
  <si>
    <t>https://ebookcentral.proquest.com/lib/iuavit/detail.action?docID=7015003</t>
  </si>
  <si>
    <t>Sozialismus und Volkswirtschaft in der Kriegsverfassung</t>
  </si>
  <si>
    <t>Bendixen, Friedrich</t>
  </si>
  <si>
    <t>https://ebookcentral.proquest.com/lib/iuavit/detail.action?docID=7015004</t>
  </si>
  <si>
    <t>Chronicles and the Priestly Literature of the Hebrew Bible</t>
  </si>
  <si>
    <t>Jeon, Jaeyoung;Jonker, Louis C.</t>
  </si>
  <si>
    <t>https://ebookcentral.proquest.com/lib/iuavit/detail.action?docID=7015005</t>
  </si>
  <si>
    <t>De Pseudo-Luciani Amoribus</t>
  </si>
  <si>
    <t>Bloch, Robert</t>
  </si>
  <si>
    <t>https://ebookcentral.proquest.com/lib/iuavit/detail.action?docID=7015006</t>
  </si>
  <si>
    <t>Abū Manṣūr al-Thaʿālibī : Kitāb Khāṣṣ al-Khāṣṣ</t>
  </si>
  <si>
    <t>Orfali, Bilal;Baalbaki, Ramzi</t>
  </si>
  <si>
    <t>https://ebookcentral.proquest.com/lib/iuavit/detail.action?docID=7015007</t>
  </si>
  <si>
    <t>Latin As the Language of Science and Learning</t>
  </si>
  <si>
    <t>https://ebookcentral.proquest.com/lib/iuavit/detail.action?docID=7015008</t>
  </si>
  <si>
    <t>Discourses on Nations and Identities</t>
  </si>
  <si>
    <t>Syrovy, Daniel</t>
  </si>
  <si>
    <t>https://ebookcentral.proquest.com/lib/iuavit/detail.action?docID=7015009</t>
  </si>
  <si>
    <t>Die Deutsche Staatskrise 1930 - 1933 : Handlungsspielräume und Alternativen</t>
  </si>
  <si>
    <t>Winkler, Heinrich August;Müller-Luckner, Elisabeth</t>
  </si>
  <si>
    <t>https://ebookcentral.proquest.com/lib/iuavit/detail.action?docID=7015010</t>
  </si>
  <si>
    <t>Czesław Miłosz in Postwar America</t>
  </si>
  <si>
    <t>Kołodziejczyk, Ewa</t>
  </si>
  <si>
    <t>https://ebookcentral.proquest.com/lib/iuavit/detail.action?docID=7015011</t>
  </si>
  <si>
    <t>Öffentliche Vernunft? : Die Wissenschaft in der Demokratie</t>
  </si>
  <si>
    <t>Hinsch, Wilfried;Eggers, Daniel</t>
  </si>
  <si>
    <t>https://ebookcentral.proquest.com/lib/iuavit/detail.action?docID=7015012</t>
  </si>
  <si>
    <t>Predigt Zur Jubelfeier der Reformazion und Union Gehalten in der Nikolai Kirche Zu Berlin Den 31. Oktober 1867</t>
  </si>
  <si>
    <t>1867-04-01</t>
  </si>
  <si>
    <t>Thomas, [Adolf]</t>
  </si>
  <si>
    <t>https://ebookcentral.proquest.com/lib/iuavit/detail.action?docID=7015013</t>
  </si>
  <si>
    <t>Forschungsfeld Sprachevolution : Methodik, Theorie und Empirie der Modernen Sprachursprungsforschung</t>
  </si>
  <si>
    <t>Breyl, Michael</t>
  </si>
  <si>
    <t>https://ebookcentral.proquest.com/lib/iuavit/detail.action?docID=7015014</t>
  </si>
  <si>
    <t>Une Doxographie Sunnite du IVe/Xe Siècle : Kitāb Al-Maqālāt d'Abū Al-ʿAbbās Al-Qalānisī</t>
  </si>
  <si>
    <t>Bou Akl, Ziad</t>
  </si>
  <si>
    <t>https://ebookcentral.proquest.com/lib/iuavit/detail.action?docID=7015015</t>
  </si>
  <si>
    <t>Pays Candidats Au Processus de Développement : Capacité d'absorption, Assistance Extérieure et Modèles de Croissance économique</t>
  </si>
  <si>
    <t>Nana-Sinkam, Samuel C.;Samir, Amin</t>
  </si>
  <si>
    <t>https://ebookcentral.proquest.com/lib/iuavit/detail.action?docID=7015016</t>
  </si>
  <si>
    <t>Kernwaffen und Auswärtige Politik : Schriften des Forschungsinstituts der Deutschen Gesellschaft E. V. Für Auswärtige Politik. Reihe Der Übersetzungen</t>
  </si>
  <si>
    <t>Kissinger, Henry A.;Schmidt, Helmut;Ahrens, Georg</t>
  </si>
  <si>
    <t>https://ebookcentral.proquest.com/lib/iuavit/detail.action?docID=7015017</t>
  </si>
  <si>
    <t>The Lumumba Generation : African Bourgeoisie and Colonial Distinction in the Belgian Congo</t>
  </si>
  <si>
    <t>Tödt, Daniel;Skinner, Alex</t>
  </si>
  <si>
    <t>https://ebookcentral.proquest.com/lib/iuavit/detail.action?docID=7015018</t>
  </si>
  <si>
    <t>Die Bedeutung des Protestantismus Für Die Entstehung der Modernen Welt</t>
  </si>
  <si>
    <t>Troeltsch, Ernst</t>
  </si>
  <si>
    <t>https://ebookcentral.proquest.com/lib/iuavit/detail.action?docID=7015019</t>
  </si>
  <si>
    <t>Jeux de Mots, Textes et Contextes</t>
  </si>
  <si>
    <t>Winter-Froemel, Esme;Demeulenaere, Alex</t>
  </si>
  <si>
    <t>https://ebookcentral.proquest.com/lib/iuavit/detail.action?docID=7015020</t>
  </si>
  <si>
    <t>Kognition und Reflexion: Zur Theorie Filmischen Denkens</t>
  </si>
  <si>
    <t>https://ebookcentral.proquest.com/lib/iuavit/detail.action?docID=7015021</t>
  </si>
  <si>
    <t>Libraries, Archives and Museums As Democratic Spaces in a Digital Age</t>
  </si>
  <si>
    <t>Audunson, Ragnar;Andresen, Herbjø;Fagerlid, Cicilie;Henningsen, Erik;Hobohm, Hans-Christoph;Jochumsen, Henrik;Larsen, Håkon;Vold, Tonje</t>
  </si>
  <si>
    <t>https://ebookcentral.proquest.com/lib/iuavit/detail.action?docID=7015022</t>
  </si>
  <si>
    <t>Cultural Perspectives on Aging : A Different Approach to Old Age and Aging</t>
  </si>
  <si>
    <t>Hülsen-Esch, Andrea</t>
  </si>
  <si>
    <t>https://ebookcentral.proquest.com/lib/iuavit/detail.action?docID=7015023</t>
  </si>
  <si>
    <t>Der Teufel und Seine Poietische Macht in Literarischen Texten Vom Mittelalter Zur Moderne</t>
  </si>
  <si>
    <t>Eming, Jutta;Fuhrmann, Daniela</t>
  </si>
  <si>
    <t>https://ebookcentral.proquest.com/lib/iuavit/detail.action?docID=7015024</t>
  </si>
  <si>
    <t>Microwave Based Weed Control and Soil Treatment</t>
  </si>
  <si>
    <t>Brodie, Graham;Gupta, Dorin;Khan, Jamal;Foletta, Sally;Bootes, Natalie</t>
  </si>
  <si>
    <t>https://ebookcentral.proquest.com/lib/iuavit/detail.action?docID=7015025</t>
  </si>
  <si>
    <t>Loans in Colonial and Modern Nahuatl : A Contextual Dictionary</t>
  </si>
  <si>
    <t>Brylak, Agnieszka;Madajczak, Julia;Olko, Justyna;Sullivan, John</t>
  </si>
  <si>
    <t>https://ebookcentral.proquest.com/lib/iuavit/detail.action?docID=7015026</t>
  </si>
  <si>
    <t>Die Moderne Handschriftendeutung</t>
  </si>
  <si>
    <t>Pokorny, R. Raphael</t>
  </si>
  <si>
    <t>https://ebookcentral.proquest.com/lib/iuavit/detail.action?docID=7015027</t>
  </si>
  <si>
    <t>Divination on Stage : Prophetic Body Signs in Early Modern Theatre in Spain and Europe</t>
  </si>
  <si>
    <t>809.2/93770903</t>
  </si>
  <si>
    <t>https://ebookcentral.proquest.com/lib/iuavit/detail.action?docID=7015028</t>
  </si>
  <si>
    <t>Urban-Regional Development in South America : A Process of Diffusion and Integration</t>
  </si>
  <si>
    <t>Pedersen, Poul Ove</t>
  </si>
  <si>
    <t>https://ebookcentral.proquest.com/lib/iuavit/detail.action?docID=7015029</t>
  </si>
  <si>
    <t>Machtstaat und Utopie : Vom Streit Um Die dämonie der Macht Seit Machiavelli und Morus</t>
  </si>
  <si>
    <t>Ritter, Gerhard</t>
  </si>
  <si>
    <t>https://ebookcentral.proquest.com/lib/iuavit/detail.action?docID=7015030</t>
  </si>
  <si>
    <t>Menandri Sicyonius</t>
  </si>
  <si>
    <t>Menander;Kassel, Rudolf</t>
  </si>
  <si>
    <t>Latin</t>
  </si>
  <si>
    <t>https://ebookcentral.proquest.com/lib/iuavit/detail.action?docID=7015031</t>
  </si>
  <si>
    <t>Comprehending Antisemitism Through the Ages: a Historical Perspective</t>
  </si>
  <si>
    <t>https://ebookcentral.proquest.com/lib/iuavit/detail.action?docID=7015032</t>
  </si>
  <si>
    <t>Euripides-Rezeption in Kaiserzeit und Spätantike</t>
  </si>
  <si>
    <t>Schramm, Michael</t>
  </si>
  <si>
    <t>https://ebookcentral.proquest.com/lib/iuavit/detail.action?docID=7015033</t>
  </si>
  <si>
    <t>Modernization of Public Spaces in Lithuanian Cities : Evolution and Transition</t>
  </si>
  <si>
    <t>Zaleckis, Kęstutis;Tranavičiūtė, Brigita;Grunskis, Tomas;Gražulevičiūtė-Villeniskė, Indrė;Vitkuvienė, Jurga;Sinkienė, Jolita;Armagan Doğan, Huriye</t>
  </si>
  <si>
    <t>https://ebookcentral.proquest.com/lib/iuavit/detail.action?docID=7015034</t>
  </si>
  <si>
    <t>The Legacy of Early Franciscan Thought</t>
  </si>
  <si>
    <t>History; Religion; Literature</t>
  </si>
  <si>
    <t>https://ebookcentral.proquest.com/lib/iuavit/detail.action?docID=7015035</t>
  </si>
  <si>
    <t>Was Wird Aus Dem Heidelberger Schloß Werden?</t>
  </si>
  <si>
    <t>Dehio, G.</t>
  </si>
  <si>
    <t>https://ebookcentral.proquest.com/lib/iuavit/detail.action?docID=7015036</t>
  </si>
  <si>
    <t>Temperatur, Salzgehalt und Dichte an der Oberfläche des Atlantischen Ozeans, Lfg 3. Untersuchungen über Die Mittleren Hydrographischen Verhältnisse an der Meeresoberfläche des Nördlichen Nordatlantischen Ozeans</t>
  </si>
  <si>
    <t>Krauss, Wolfgang;Defant, Albert</t>
  </si>
  <si>
    <t>General Works/Reference; Science: General</t>
  </si>
  <si>
    <t>https://ebookcentral.proquest.com/lib/iuavit/detail.action?docID=7015037</t>
  </si>
  <si>
    <t>Der Freiwillige Soziale Aufwand in der Industrie und Seine Betriebswirtschaftliche Behandlung</t>
  </si>
  <si>
    <t>Merle, Günter</t>
  </si>
  <si>
    <t>https://ebookcentral.proquest.com/lib/iuavit/detail.action?docID=7015038</t>
  </si>
  <si>
    <t>Soziologie - Sociology in the German-Speaking World : Special Issue Soziologische Revue 2020</t>
  </si>
  <si>
    <t>Hollstein, Betina;Greshoff, Rainer;Schimank, Uwe;Weiß, Anja</t>
  </si>
  <si>
    <t>https://ebookcentral.proquest.com/lib/iuavit/detail.action?docID=7015039</t>
  </si>
  <si>
    <t>Hunger! : Effects of Modern War Methods</t>
  </si>
  <si>
    <t>Rubmann, Max</t>
  </si>
  <si>
    <t>History; Economics; Business/Management</t>
  </si>
  <si>
    <t>https://ebookcentral.proquest.com/lib/iuavit/detail.action?docID=7015040</t>
  </si>
  <si>
    <t>Fakes and Forgeries of Written Artefacts from Ancient Mesopotamia to Modern China</t>
  </si>
  <si>
    <t>Michel, Cécile;Friedrich, Michael</t>
  </si>
  <si>
    <t>https://ebookcentral.proquest.com/lib/iuavit/detail.action?docID=7015041</t>
  </si>
  <si>
    <t>Das Gelingen der Künstlichen Natürlichkeit : Mensch-Sein an Den Grenzen des Lebens Mit Disruptiven Biotechnologien</t>
  </si>
  <si>
    <t>Mitscherlich-Schönherr, Olivia</t>
  </si>
  <si>
    <t>https://ebookcentral.proquest.com/lib/iuavit/detail.action?docID=7015042</t>
  </si>
  <si>
    <t>The Study of an Italian Village</t>
  </si>
  <si>
    <t>Maraspini, A. L.</t>
  </si>
  <si>
    <t>https://ebookcentral.proquest.com/lib/iuavit/detail.action?docID=7015043</t>
  </si>
  <si>
    <t>Handbook of Polish, Czech, and Slovak Holocaust Fiction : Works and Contexts</t>
  </si>
  <si>
    <t>Hiemer, Elisa-Maria;Holý, Jiří;Firlej, Agata;Nichtburgerová, Hana</t>
  </si>
  <si>
    <t>https://ebookcentral.proquest.com/lib/iuavit/detail.action?docID=7015044</t>
  </si>
  <si>
    <t>Échanges et Communications, II : Mélanges Offerts à Claude lévi-Strauss à l'occasion de Son 60ème Anniversaire</t>
  </si>
  <si>
    <t>Lévi-Strauss, Claude;Pouillon, Jean;Maranda, Pierre</t>
  </si>
  <si>
    <t>https://ebookcentral.proquest.com/lib/iuavit/detail.action?docID=7015045</t>
  </si>
  <si>
    <t>Lehrbuch der Instrumentenkunde Für Die Operationspraxis</t>
  </si>
  <si>
    <t>Kaboth, Berta</t>
  </si>
  <si>
    <t>https://ebookcentral.proquest.com/lib/iuavit/detail.action?docID=7015046</t>
  </si>
  <si>
    <t>The State of Law : Comparative Perspectives on the Rule of Law in Germany and Vietnam</t>
  </si>
  <si>
    <t>von Alemann, Ulrich;Briesen, Detlef;Khanh, Lai Quoc</t>
  </si>
  <si>
    <t>https://ebookcentral.proquest.com/lib/iuavit/detail.action?docID=7015047</t>
  </si>
  <si>
    <t>Visuelle Linguistik : Zur Genese, Funktion und Kategorisierung Von Diagrammen in der Sprachwissenschaft</t>
  </si>
  <si>
    <t>Bubenhofer, Noah</t>
  </si>
  <si>
    <t>Fine Arts; History; Language/Linguistics</t>
  </si>
  <si>
    <t>https://ebookcentral.proquest.com/lib/iuavit/detail.action?docID=7015048</t>
  </si>
  <si>
    <t>Claiming and Making Muslim Worlds : Religion and Society in the Context of the Global</t>
  </si>
  <si>
    <t>Dağyeli, Jeanine Elif;Ghrawi, Claudia;Freitag, Ulrike</t>
  </si>
  <si>
    <t>https://ebookcentral.proquest.com/lib/iuavit/detail.action?docID=7015049</t>
  </si>
  <si>
    <t>Koloniale Straßennamen : Benennungspraktiken Im Kontext Kolonialer Raumaneignung in der Deutschen Metropole Von 1884 Bis 1945</t>
  </si>
  <si>
    <t>Ebert, Verena</t>
  </si>
  <si>
    <t>https://ebookcentral.proquest.com/lib/iuavit/detail.action?docID=7015050</t>
  </si>
  <si>
    <t>Uncertain Values : An Axiomatic Approach to Axiological Uncertainty</t>
  </si>
  <si>
    <t>Riedener, Stefan</t>
  </si>
  <si>
    <t>https://ebookcentral.proquest.com/lib/iuavit/detail.action?docID=7015051</t>
  </si>
  <si>
    <t>Prosa : Geschichte, Poetik, Theorie</t>
  </si>
  <si>
    <t>Efimova, Svetlana;Gamper, Michael</t>
  </si>
  <si>
    <t>https://ebookcentral.proquest.com/lib/iuavit/detail.action?docID=7015052</t>
  </si>
  <si>
    <t>Trends in Statistical Codicology</t>
  </si>
  <si>
    <t>Maniaci, Marilena</t>
  </si>
  <si>
    <t>https://ebookcentral.proquest.com/lib/iuavit/detail.action?docID=7015053</t>
  </si>
  <si>
    <t>Lineare Algebra</t>
  </si>
  <si>
    <t>Kowalsky, Hans-Joachim</t>
  </si>
  <si>
    <t>https://ebookcentral.proquest.com/lib/iuavit/detail.action?docID=7015054</t>
  </si>
  <si>
    <t>Grundwerte Römischer Staatsgesinnung in Den Geschichtswerken des Sallust</t>
  </si>
  <si>
    <t>Pöschl, Viktor</t>
  </si>
  <si>
    <t>https://ebookcentral.proquest.com/lib/iuavit/detail.action?docID=7015055</t>
  </si>
  <si>
    <t>Religious Otherness and National Identity in Scandinavia, C. 1790-1960 : The Construction of Jews, Mormons, and Jesuits As Anti-Citizens and Enemies of Society</t>
  </si>
  <si>
    <t>Ulvund, Frode</t>
  </si>
  <si>
    <t>https://ebookcentral.proquest.com/lib/iuavit/detail.action?docID=7015056</t>
  </si>
  <si>
    <t>Dokufiktionalität in Literatur und Medien : Erzählen an Den Schnittstellen Von Fakt und Fiktion</t>
  </si>
  <si>
    <t>Bidmon, Agnes;Lubkoll, Christine</t>
  </si>
  <si>
    <t>https://ebookcentral.proquest.com/lib/iuavit/detail.action?docID=7015057</t>
  </si>
  <si>
    <t>Rekrutierungen Für Die Waffen-SS in Südosteuropa : Ideen, Ideale und Realitäten Einer Vielvölkerarmee</t>
  </si>
  <si>
    <t>Zaugg, Franziska Anna</t>
  </si>
  <si>
    <t>https://ebookcentral.proquest.com/lib/iuavit/detail.action?docID=7015058</t>
  </si>
  <si>
    <t>Gehört der Islam Zu Deutschland? : Fakten und Analysen Zu Einem Meinungsstreit</t>
  </si>
  <si>
    <t>Spenlen, Klaus</t>
  </si>
  <si>
    <t>https://ebookcentral.proquest.com/lib/iuavit/detail.action?docID=7015059</t>
  </si>
  <si>
    <t>Principles of Decoration in the Roman World</t>
  </si>
  <si>
    <t>Haug, Annette;Lauritsen, M. Taylor</t>
  </si>
  <si>
    <t>https://ebookcentral.proquest.com/lib/iuavit/detail.action?docID=7015060</t>
  </si>
  <si>
    <t>Logarithmische Rechentafeln Für Chemiker, Pharmazeuten, Mediziner und Physiker</t>
  </si>
  <si>
    <t>Küster, F. W.;Fischbeck, Kurt</t>
  </si>
  <si>
    <t>Science: Chemistry; Mathematics</t>
  </si>
  <si>
    <t>https://ebookcentral.proquest.com/lib/iuavit/detail.action?docID=7015061</t>
  </si>
  <si>
    <t>Einführung in das Programmieren in BASIC</t>
  </si>
  <si>
    <t>Mägerle, Erich W.</t>
  </si>
  <si>
    <t>https://ebookcentral.proquest.com/lib/iuavit/detail.action?docID=7015062</t>
  </si>
  <si>
    <t>Bringing Buddhism to Tibet : History and Narrative in the DBA' BZHED Manuscript</t>
  </si>
  <si>
    <t>Doney, Lewis</t>
  </si>
  <si>
    <t>https://ebookcentral.proquest.com/lib/iuavit/detail.action?docID=7015063</t>
  </si>
  <si>
    <t>Der Nachlass Paul de Lagarde : Orientalistische Netzwerke und Antisemitische Verflechtungen</t>
  </si>
  <si>
    <t>Behlmer, Heike;Gertzen, Thomas L.;Witthuhn, Orell</t>
  </si>
  <si>
    <t>305.892/4043092</t>
  </si>
  <si>
    <t>https://ebookcentral.proquest.com/lib/iuavit/detail.action?docID=7015064</t>
  </si>
  <si>
    <t>Mathematical Linguistics in the Soviet Union</t>
  </si>
  <si>
    <t>Papp, Ferenc</t>
  </si>
  <si>
    <t>https://ebookcentral.proquest.com/lib/iuavit/detail.action?docID=7015065</t>
  </si>
  <si>
    <t>Sprache und Kognition : Ereigniskonzeptualisierung Im Deutschen und Tschechischen</t>
  </si>
  <si>
    <t>Mertins, Barbara</t>
  </si>
  <si>
    <t>PF3306.M47 2018</t>
  </si>
  <si>
    <t>https://ebookcentral.proquest.com/lib/iuavit/detail.action?docID=7015066</t>
  </si>
  <si>
    <t>Der Kathedersocialismus und Die Sociale Frage : Festrede Gehalten Am 3. November 1899 Zur Stiftungsfeier des Socialwissenschaftlichen Studentenvereins Zu Berlin</t>
  </si>
  <si>
    <t>1899-04-01</t>
  </si>
  <si>
    <t>Wolf, Julius</t>
  </si>
  <si>
    <t>https://ebookcentral.proquest.com/lib/iuavit/detail.action?docID=7015067</t>
  </si>
  <si>
    <t>Clarice Lispector - Weltliteratur? : Übersetzungs- und Rezeptionsdynamiken Im 20. und 21. Jahrhundert</t>
  </si>
  <si>
    <t>Meyer-Krentler, Leonie</t>
  </si>
  <si>
    <t>https://ebookcentral.proquest.com/lib/iuavit/detail.action?docID=7015068</t>
  </si>
  <si>
    <t>Kalter Krieg Auf Dem Indischen Subkontinent : Die Deutsch-Deutsche Diplomatie Im Bangladeschkrieg 1971</t>
  </si>
  <si>
    <t>Benatar, Alexander</t>
  </si>
  <si>
    <t>954.9205/1</t>
  </si>
  <si>
    <t>https://ebookcentral.proquest.com/lib/iuavit/detail.action?docID=7015069</t>
  </si>
  <si>
    <t>History of Philosophy and the Reflective Society</t>
  </si>
  <si>
    <t>Pozzo, Riccardo</t>
  </si>
  <si>
    <t>https://ebookcentral.proquest.com/lib/iuavit/detail.action?docID=7015070</t>
  </si>
  <si>
    <t>Kaiser Maximilian I. : Zwischen Wirklichkeit und Traum</t>
  </si>
  <si>
    <t>Winker, Will</t>
  </si>
  <si>
    <t>https://ebookcentral.proquest.com/lib/iuavit/detail.action?docID=7015071</t>
  </si>
  <si>
    <t>Rechtsentwicklungen in Deutschland</t>
  </si>
  <si>
    <t>Laufs, Adolf</t>
  </si>
  <si>
    <t>https://ebookcentral.proquest.com/lib/iuavit/detail.action?docID=7015072</t>
  </si>
  <si>
    <t>Gentrifizierung Als Rechtsproblem - Wohnungspolitik Ohne ökonomische und Rechtsstaatliche Leitplanken?</t>
  </si>
  <si>
    <t>Kühling, Jürgen</t>
  </si>
  <si>
    <t>https://ebookcentral.proquest.com/lib/iuavit/detail.action?docID=7015073</t>
  </si>
  <si>
    <t>Facing Poetry : Alexander Gottlieb Baumgarten's Theory of Literature</t>
  </si>
  <si>
    <t>Berndt, Frauke</t>
  </si>
  <si>
    <t>https://ebookcentral.proquest.com/lib/iuavit/detail.action?docID=7015074</t>
  </si>
  <si>
    <t>Address in Portuguese and Spanish : Studies in Diachrony and Diachronic Reconstruction</t>
  </si>
  <si>
    <t>Hummel, Martin;dos Santos Lopes, Célia</t>
  </si>
  <si>
    <t>https://ebookcentral.proquest.com/lib/iuavit/detail.action?docID=7015075</t>
  </si>
  <si>
    <t>Qualität in der Inhaltserschließung</t>
  </si>
  <si>
    <t>Franke-Maier, Michael;Kasprzik, Anna;Ledl, Andreas;Schürmann, Hans</t>
  </si>
  <si>
    <t>https://ebookcentral.proquest.com/lib/iuavit/detail.action?docID=7015076</t>
  </si>
  <si>
    <t>IT Für Soziale Inklusion : Digitalisierung - Künstliche Intelligenz - Zukunft Für Alle</t>
  </si>
  <si>
    <t>Burchardt, Aljoscha;Uszkoreit, Hans</t>
  </si>
  <si>
    <t>R855.3.I8 2018</t>
  </si>
  <si>
    <t>https://ebookcentral.proquest.com/lib/iuavit/detail.action?docID=7015077</t>
  </si>
  <si>
    <t>Zukunft Lernwelt Hochschule : Perspektiven und Optionen Für eine Neuausrichtung</t>
  </si>
  <si>
    <t>Stang, Richard;Becker, Alexandra</t>
  </si>
  <si>
    <t>https://ebookcentral.proquest.com/lib/iuavit/detail.action?docID=7015078</t>
  </si>
  <si>
    <t>Selbstreparaturen in der Schriftlichen Interaktion : Eine Kontrastive Analyse Deutscher und Russischer Kurznachrichtenkommunikation</t>
  </si>
  <si>
    <t>Mostovaia, Irina</t>
  </si>
  <si>
    <t>https://ebookcentral.proquest.com/lib/iuavit/detail.action?docID=7015079</t>
  </si>
  <si>
    <t>Zur Geschichte Friedrichs I. und Friedrich Wilhelms I. Von Preußen</t>
  </si>
  <si>
    <t>Droysen, Joh. Gust. von</t>
  </si>
  <si>
    <t>https://ebookcentral.proquest.com/lib/iuavit/detail.action?docID=7015080</t>
  </si>
  <si>
    <t>Between Daily Routine and Violent Protest : Interpreting the Technicity of Action</t>
  </si>
  <si>
    <t>Wolff, Ernst</t>
  </si>
  <si>
    <t>https://ebookcentral.proquest.com/lib/iuavit/detail.action?docID=7015081</t>
  </si>
  <si>
    <t>Häresie und Vorzeitige Reformation Im Spätmittelalter</t>
  </si>
  <si>
    <t>Smahel, Frantisek</t>
  </si>
  <si>
    <t>https://ebookcentral.proquest.com/lib/iuavit/detail.action?docID=7015082</t>
  </si>
  <si>
    <t>Landscape's Revenge : The Ecology of Failure in Robert Walser and Bernardo Carvalho</t>
  </si>
  <si>
    <t>Yurgel, Caio</t>
  </si>
  <si>
    <t>https://ebookcentral.proquest.com/lib/iuavit/detail.action?docID=7015083</t>
  </si>
  <si>
    <t>The Formation of the Talmud : Scholarship and Politics in Yitzhak Isaac Halevy's Dorot Harishonim</t>
  </si>
  <si>
    <t>Bergmann, Ari</t>
  </si>
  <si>
    <t>296.1/25</t>
  </si>
  <si>
    <t>https://ebookcentral.proquest.com/lib/iuavit/detail.action?docID=7015084</t>
  </si>
  <si>
    <t>Das Spätantike Rom und Die Stadtrömische Senatsaristokratie (395-455 N. Chr. ) : Eine Althistorisch-Archäologische Untersuchung</t>
  </si>
  <si>
    <t>Wagner, Hendrik</t>
  </si>
  <si>
    <t>History; Fine Arts; Religion</t>
  </si>
  <si>
    <t>https://ebookcentral.proquest.com/lib/iuavit/detail.action?docID=7015085</t>
  </si>
  <si>
    <t>Heinrich Von Sybel: Die Begründung des Deutschen Reiches Durch Wilhelm I. . Band 1</t>
  </si>
  <si>
    <t>Sybel, Heinrich von</t>
  </si>
  <si>
    <t>https://ebookcentral.proquest.com/lib/iuavit/detail.action?docID=7015086</t>
  </si>
  <si>
    <t>The Rhetoric of Topics and Forms</t>
  </si>
  <si>
    <t>Zocco, Gianna</t>
  </si>
  <si>
    <t>https://ebookcentral.proquest.com/lib/iuavit/detail.action?docID=7015087</t>
  </si>
  <si>
    <t>Die Transformation der Informationsmärkte in Richtung Nutzungsfreiheit : Alternativen Zur Als-Ob-Regulierung Im Wissenschaftsurheberrecht</t>
  </si>
  <si>
    <t>Kuhlen, Rainer</t>
  </si>
  <si>
    <t>https://ebookcentral.proquest.com/lib/iuavit/detail.action?docID=7015088</t>
  </si>
  <si>
    <t>Die Zypressen der Villa D'Este : Schicksale Im Spiegel der Landschaft</t>
  </si>
  <si>
    <t>Guthmann, Johannes</t>
  </si>
  <si>
    <t>https://ebookcentral.proquest.com/lib/iuavit/detail.action?docID=7015089</t>
  </si>
  <si>
    <t>Das Problem des Künstlerischen</t>
  </si>
  <si>
    <t>Preetorius, Emil</t>
  </si>
  <si>
    <t>https://ebookcentral.proquest.com/lib/iuavit/detail.action?docID=7015090</t>
  </si>
  <si>
    <t>Hispanos en el Mundo : Emociones y Desplazamientos Históricos, Viajes y Migraciones</t>
  </si>
  <si>
    <t>Gallo González, Danae;Leuzinger, Mirjam;Dolle, Verena</t>
  </si>
  <si>
    <t>https://ebookcentral.proquest.com/lib/iuavit/detail.action?docID=7015091</t>
  </si>
  <si>
    <t>Philosophie Als Denken der Welt Gemäß Dem Prinzip des Kleinsten Kraftmaßes : Prolegomena Zu Einer Kritik der Reinen Erfahrung</t>
  </si>
  <si>
    <t>Avenarius, Richard</t>
  </si>
  <si>
    <t>https://ebookcentral.proquest.com/lib/iuavit/detail.action?docID=7015092</t>
  </si>
  <si>
    <t>Expressions of Sceptical Topoi in (Late) Antique Judaism</t>
  </si>
  <si>
    <t>Kiperwasser, Reuven;Herman, Geoffrey</t>
  </si>
  <si>
    <t>https://ebookcentral.proquest.com/lib/iuavit/detail.action?docID=7015093</t>
  </si>
  <si>
    <t>The Bänkelsang and the Work of Bertolt Brecht</t>
  </si>
  <si>
    <t>McLean, Sammy K.</t>
  </si>
  <si>
    <t>Language/Linguistics; Literature; Fine Arts</t>
  </si>
  <si>
    <t>https://ebookcentral.proquest.com/lib/iuavit/detail.action?docID=7015094</t>
  </si>
  <si>
    <t>Bibliographie Zum Strafrecht Im Nationalsozialismus : Literatur Zum Straf-, Strafverfahrens- und Strafvollzugsrecht Mit Ihren Grundlagen und Einem Anhang: Verzeichnis der Veröffentlichten Entscheidungen der Sondergerichte</t>
  </si>
  <si>
    <t>Rüping, Hinrich;Deuringer, Josef;Knorring, Gisela von;Langen, Kerstin</t>
  </si>
  <si>
    <t>https://ebookcentral.proquest.com/lib/iuavit/detail.action?docID=7015095</t>
  </si>
  <si>
    <t>Exploring Written Artefacts : Objects, Methods, and Concepts</t>
  </si>
  <si>
    <t>Quenzer, Jörg B.</t>
  </si>
  <si>
    <t>https://ebookcentral.proquest.com/lib/iuavit/detail.action?docID=7015096</t>
  </si>
  <si>
    <t>Mechanische Triebwerke und Bremsen</t>
  </si>
  <si>
    <t>Löffler, St.</t>
  </si>
  <si>
    <t>https://ebookcentral.proquest.com/lib/iuavit/detail.action?docID=7015097</t>
  </si>
  <si>
    <t>Geschichte der Krim : Iphigenie und Putin Auf Tauris</t>
  </si>
  <si>
    <t>Jobst, Kerstin S.</t>
  </si>
  <si>
    <t>https://ebookcentral.proquest.com/lib/iuavit/detail.action?docID=7015098</t>
  </si>
  <si>
    <t>Die Kriminalität in Den USA und Ihre Behandlung</t>
  </si>
  <si>
    <t>Reckless, Walter C.</t>
  </si>
  <si>
    <t>Economics; Business/Management; Law</t>
  </si>
  <si>
    <t>https://ebookcentral.proquest.com/lib/iuavit/detail.action?docID=7015099</t>
  </si>
  <si>
    <t>Narrative der Migration : Eine Andere Deutsche Kulturgeschichte</t>
  </si>
  <si>
    <t>Ezli, Özkan</t>
  </si>
  <si>
    <t>https://ebookcentral.proquest.com/lib/iuavit/detail.action?docID=7015100</t>
  </si>
  <si>
    <t>Botanik</t>
  </si>
  <si>
    <t>1852-04-01</t>
  </si>
  <si>
    <t>Bischoff, Karl</t>
  </si>
  <si>
    <t>Science: General; Science: Botany; General Works/Reference</t>
  </si>
  <si>
    <t>https://ebookcentral.proquest.com/lib/iuavit/detail.action?docID=7015101</t>
  </si>
  <si>
    <t>Learned Physicians and Everyday Medical Practice in the Renaissance</t>
  </si>
  <si>
    <t>Stolberg, Michael</t>
  </si>
  <si>
    <t>https://ebookcentral.proquest.com/lib/iuavit/detail.action?docID=7015102</t>
  </si>
  <si>
    <t>Gesunde Stadt : Die Assanierung der Stadt Wien (1934-1938)</t>
  </si>
  <si>
    <t>Knauer, Birgit</t>
  </si>
  <si>
    <t>https://ebookcentral.proquest.com/lib/iuavit/detail.action?docID=7015103</t>
  </si>
  <si>
    <t>Sprachliche Muster : Eine Induktive Korpuslinguistische Analyse Wissenschaftlicher Texte</t>
  </si>
  <si>
    <t>Brommer, Sarah</t>
  </si>
  <si>
    <t>https://ebookcentral.proquest.com/lib/iuavit/detail.action?docID=7015104</t>
  </si>
  <si>
    <t>Chemische Kosmographie : Vorlesung Gehalten an der Kgl. Technischen Hochschule Zu München Im Wintersemester 1902-1903</t>
  </si>
  <si>
    <t>Baur, Emil</t>
  </si>
  <si>
    <t>https://ebookcentral.proquest.com/lib/iuavit/detail.action?docID=7015105</t>
  </si>
  <si>
    <t>Voces de Mujeres en la Edad Media : Entre Realidad y Ficción</t>
  </si>
  <si>
    <t>Corral Díaz, Esther</t>
  </si>
  <si>
    <t>https://ebookcentral.proquest.com/lib/iuavit/detail.action?docID=7015106</t>
  </si>
  <si>
    <t>Early Thirteenth-Century English Franciscan Thought</t>
  </si>
  <si>
    <t>Religion; History; Literature</t>
  </si>
  <si>
    <t>https://ebookcentral.proquest.com/lib/iuavit/detail.action?docID=7015107</t>
  </si>
  <si>
    <t>Early Urbanism in Europe : The Trypillia Megasites of the Ukrainian Forest-Steppe</t>
  </si>
  <si>
    <t>Gaydarska, Bisserka</t>
  </si>
  <si>
    <t>https://ebookcentral.proquest.com/lib/iuavit/detail.action?docID=7015108</t>
  </si>
  <si>
    <t>Kooperative Informationsinfrastrukturen Als Chance und Herausforderung : Festschrift Für Thomas Bürger Zum 65. Geburtstag</t>
  </si>
  <si>
    <t>Bonte, Achim;Rehnolt, Juliane</t>
  </si>
  <si>
    <t>https://ebookcentral.proquest.com/lib/iuavit/detail.action?docID=7015109</t>
  </si>
  <si>
    <t>Theorie der Kugelfunctionen und der Verwandten Functionen</t>
  </si>
  <si>
    <t>1878-04-01</t>
  </si>
  <si>
    <t>Heine, E.</t>
  </si>
  <si>
    <t>https://ebookcentral.proquest.com/lib/iuavit/detail.action?docID=7015110</t>
  </si>
  <si>
    <t>Bibliotheken der Schweiz: Innovation Durch Kooperation : Festschrift Für Susanna Bliggenstorfer Anlässlich Ihres Rücktrittes Als Direktorin der Zentralbibliothek Zürich</t>
  </si>
  <si>
    <t>Zentralbibliothek Zürich, Zentralbibliothek;Keller, Alice;Uhl, Susanne</t>
  </si>
  <si>
    <t>https://ebookcentral.proquest.com/lib/iuavit/detail.action?docID=7015111</t>
  </si>
  <si>
    <t>Optik : Mit 1 Ausschlagtafel</t>
  </si>
  <si>
    <t>Matossi, Frank</t>
  </si>
  <si>
    <t>Science: Physics; General Works/Reference</t>
  </si>
  <si>
    <t>https://ebookcentral.proquest.com/lib/iuavit/detail.action?docID=7015112</t>
  </si>
  <si>
    <t>Politik Der ,Glückskulturen' : NS-Deutschland und Die Schweiz, 1933-1945</t>
  </si>
  <si>
    <t>Haffter, Isabelle</t>
  </si>
  <si>
    <t>Psychology; History</t>
  </si>
  <si>
    <t>https://ebookcentral.proquest.com/lib/iuavit/detail.action?docID=7015113</t>
  </si>
  <si>
    <t>Das Lager und Heer der Römer : Eine Abhandlung über Die Stärke der Legionen und Insbesondere des Cäsarischen Heeres, Den Tagemarsch und Die Entwickelung des Lagers Von Polybius Bis Hygin. Festschrift Zur Einweihung des Neubaus des Schlettstadter Gymnasiums Im Mai 1912</t>
  </si>
  <si>
    <t>Stolle, Franz</t>
  </si>
  <si>
    <t>https://ebookcentral.proquest.com/lib/iuavit/detail.action?docID=7015114</t>
  </si>
  <si>
    <t>Angstkonstruktionen : Kulturwissenschaftliche Annäherungen an eine Zeitdiagnose</t>
  </si>
  <si>
    <t>Filatkina, Natalia;Bergmann, Franziska</t>
  </si>
  <si>
    <t>https://ebookcentral.proquest.com/lib/iuavit/detail.action?docID=7015115</t>
  </si>
  <si>
    <t>The Poetry and Prose of Wang Wei : Volume II</t>
  </si>
  <si>
    <t>https://ebookcentral.proquest.com/lib/iuavit/detail.action?docID=7015116</t>
  </si>
  <si>
    <t>Navigating Socialist Encounters : Moorings and (Dis)Entanglements Between Africa and East Germany During the Cold War</t>
  </si>
  <si>
    <t>Burton, Eric;Dietrich, Anne;Harisch, Immanuel;Schenck, Marcia</t>
  </si>
  <si>
    <t>https://ebookcentral.proquest.com/lib/iuavit/detail.action?docID=7015117</t>
  </si>
  <si>
    <t>Deutschland und Seine Feinde : Ein Bühnenfestspiel Für Unsere Zeit des Kampfes und Sieges</t>
  </si>
  <si>
    <t>Schmetzer, Ludwig</t>
  </si>
  <si>
    <t>https://ebookcentral.proquest.com/lib/iuavit/detail.action?docID=7015118</t>
  </si>
  <si>
    <t>Wortverbindungen - Mehr Oder Weniger Fest</t>
  </si>
  <si>
    <t>Steyer, Kathrin</t>
  </si>
  <si>
    <t>https://ebookcentral.proquest.com/lib/iuavit/detail.action?docID=7015119</t>
  </si>
  <si>
    <t>Semantische Spezialisierung vs. Polysemie : Interpretationsbesonderheiten Bei Komplementreduktionen Lexikalischer Einheiten</t>
  </si>
  <si>
    <t>von der Becke, Tanja</t>
  </si>
  <si>
    <t>https://ebookcentral.proquest.com/lib/iuavit/detail.action?docID=7015120</t>
  </si>
  <si>
    <t>Die ,,Confessio Augustana Im ökumenischen Gespräch</t>
  </si>
  <si>
    <t>Frank, Günter;Leppin, Volker;Licht, Tobias</t>
  </si>
  <si>
    <t>https://ebookcentral.proquest.com/lib/iuavit/detail.action?docID=7015121</t>
  </si>
  <si>
    <t>Die Einheitsbestrebungen in der Wissenschaftlichen Medicin</t>
  </si>
  <si>
    <t>1849-07-01</t>
  </si>
  <si>
    <t>https://ebookcentral.proquest.com/lib/iuavit/detail.action?docID=7015122</t>
  </si>
  <si>
    <t>Die Anfänge des Humanismus in Ingolstadt : Eine Litterarische Studie Zur Deutschen Universitätsgeschichte</t>
  </si>
  <si>
    <t>Bauch, Gustav</t>
  </si>
  <si>
    <t>https://ebookcentral.proquest.com/lib/iuavit/detail.action?docID=7015123</t>
  </si>
  <si>
    <t>Neue Richtungen in der Hoch- und Spätmittelalterlichen Bibelexegese</t>
  </si>
  <si>
    <t>Lerner, Robert E.</t>
  </si>
  <si>
    <t>https://ebookcentral.proquest.com/lib/iuavit/detail.action?docID=7015124</t>
  </si>
  <si>
    <t>Filmen, Forschen, Annotieren : Handbuch Research Video</t>
  </si>
  <si>
    <t>Lösel, Gunter;Zimper, Martin</t>
  </si>
  <si>
    <t>https://ebookcentral.proquest.com/lib/iuavit/detail.action?docID=7015125</t>
  </si>
  <si>
    <t>Erzählte Ordnungen - Ordnungen des Erzählens : Studien Zu Texten Vom Mittelalter Bis Zur Frühen Neuzeit</t>
  </si>
  <si>
    <t>Fuhrmann, Daniela;Selmayr, Pia</t>
  </si>
  <si>
    <t>https://ebookcentral.proquest.com/lib/iuavit/detail.action?docID=7015126</t>
  </si>
  <si>
    <t>Die Macht des Definierens : Eine Diskurslinguistische Typologie Am Beispiel des Burnout-Phänomens</t>
  </si>
  <si>
    <t>Schnedermann, Theresa</t>
  </si>
  <si>
    <t>https://ebookcentral.proquest.com/lib/iuavit/detail.action?docID=7015127</t>
  </si>
  <si>
    <t>De Saltationibus Graecorum Capita Quinque</t>
  </si>
  <si>
    <t>Latte, Kurt</t>
  </si>
  <si>
    <t>https://ebookcentral.proquest.com/lib/iuavit/detail.action?docID=7015128</t>
  </si>
  <si>
    <t>Cultures of Eschatology : Volume 1: Empires and Scriptural Authorities in Medieval Christian, Islamic and Buddhist Communities. Volume 2: Time, Death and Afterlife in Medieval Christian, Islamic and Buddhist Communities</t>
  </si>
  <si>
    <t>Wieser, Veronika;Eltschinger, Vincent;Heiss, Johann</t>
  </si>
  <si>
    <t>https://ebookcentral.proquest.com/lib/iuavit/detail.action?docID=7015129</t>
  </si>
  <si>
    <t>Kürschners Biographisches Theater-Handbuch : Schauspiel, Oper, Film, Rundfunk. Deutschland, Österreich, Schweiz</t>
  </si>
  <si>
    <t>Frenzel, Herbert A.;Moser, Hans Joachim</t>
  </si>
  <si>
    <t>https://ebookcentral.proquest.com/lib/iuavit/detail.action?docID=7015130</t>
  </si>
  <si>
    <t>Verb-Second As a Reconstruction Phenomenon : Evidence from Grammar and Processing</t>
  </si>
  <si>
    <t>Freitag, Constantin</t>
  </si>
  <si>
    <t>https://ebookcentral.proquest.com/lib/iuavit/detail.action?docID=7015131</t>
  </si>
  <si>
    <t>Disiecta Membra Musicae : Studies in Musical Fragmentology</t>
  </si>
  <si>
    <t>Varelli, Giovanni</t>
  </si>
  <si>
    <t>https://ebookcentral.proquest.com/lib/iuavit/detail.action?docID=7015133</t>
  </si>
  <si>
    <t>Die Lehnwörter Im Wortschatz der Spätbyzantinischen Historiographischen Literatur</t>
  </si>
  <si>
    <t>Zervan, Vratislav;Kramer, Johannes;Römer, Claudia;Metzeltin, Michael;Pavlović, Bojana;Cuomo, Andrea Massimo</t>
  </si>
  <si>
    <t>https://ebookcentral.proquest.com/lib/iuavit/detail.action?docID=7015134</t>
  </si>
  <si>
    <t>Dinámicas Lingüísticas de Las Situaciones de Contacto</t>
  </si>
  <si>
    <t>Palacios, Azucena;Sanchez Paraíso, María</t>
  </si>
  <si>
    <t>https://ebookcentral.proquest.com/lib/iuavit/detail.action?docID=7015135</t>
  </si>
  <si>
    <t>Ständische Gesellschaft und Soziale Mobilität</t>
  </si>
  <si>
    <t>Schulze, Winfried;Gabel, Helmut</t>
  </si>
  <si>
    <t>https://ebookcentral.proquest.com/lib/iuavit/detail.action?docID=7015136</t>
  </si>
  <si>
    <t>Ernst Papanek and Jewish Refugee Children : Genocide and Displacement</t>
  </si>
  <si>
    <t>https://ebookcentral.proquest.com/lib/iuavit/detail.action?docID=7015137</t>
  </si>
  <si>
    <t>Lesepraktiken Im Antiken Judentum : Rezeptionsakte, Materialität und Schriftgebrauch</t>
  </si>
  <si>
    <t>Leipziger, Jonas</t>
  </si>
  <si>
    <t>https://ebookcentral.proquest.com/lib/iuavit/detail.action?docID=7015138</t>
  </si>
  <si>
    <t>Die Inschriften des Stadtgottesackers in Halle an der Saale (1550-1700) : Quellen Zum Bürgertum Einer Stadt in der Frühen Neuzeit</t>
  </si>
  <si>
    <t>Krüger, Klaus</t>
  </si>
  <si>
    <t>https://ebookcentral.proquest.com/lib/iuavit/detail.action?docID=7015139</t>
  </si>
  <si>
    <t>Die Ordnung der Wörter : Kognitive und Lexikalische Strukturen</t>
  </si>
  <si>
    <t>Harras, Gisela</t>
  </si>
  <si>
    <t>https://ebookcentral.proquest.com/lib/iuavit/detail.action?docID=7015140</t>
  </si>
  <si>
    <t>Société et Liberté Chez les Peul Djelgôbé de Haute-Volta : Essai d'anthropologie Introspective</t>
  </si>
  <si>
    <t>Riesman, Paul</t>
  </si>
  <si>
    <t>https://ebookcentral.proquest.com/lib/iuavit/detail.action?docID=7015141</t>
  </si>
  <si>
    <t>Jean Paul Im Spiegel Seiner Heimat : Festgabe Zum 100. Todestag des Dichters</t>
  </si>
  <si>
    <t>Herold, Eduard</t>
  </si>
  <si>
    <t>https://ebookcentral.proquest.com/lib/iuavit/detail.action?docID=7015142</t>
  </si>
  <si>
    <t>Varietäten des Deutschen : Regional- und Umgangssprachen</t>
  </si>
  <si>
    <t>https://ebookcentral.proquest.com/lib/iuavit/detail.action?docID=7015143</t>
  </si>
  <si>
    <t>Englische Verfassungsgeschichte Bis Zum Regierungsantritt der Königin Victoria</t>
  </si>
  <si>
    <t>Hatschek, Julius</t>
  </si>
  <si>
    <t>https://ebookcentral.proquest.com/lib/iuavit/detail.action?docID=7015144</t>
  </si>
  <si>
    <t>Prototypen - Schemata - Konstruktionen : Untersuchungen Zur Deutschen Morphologie und Syntax</t>
  </si>
  <si>
    <t>Binanzer, Anja;Gamper, Jana;Wecker, Verena</t>
  </si>
  <si>
    <t>https://ebookcentral.proquest.com/lib/iuavit/detail.action?docID=7015145</t>
  </si>
  <si>
    <t>Dunhuang Manuscript Culture : End of the First Millennium</t>
  </si>
  <si>
    <t>https://ebookcentral.proquest.com/lib/iuavit/detail.action?docID=7015146</t>
  </si>
  <si>
    <t>Eine Angebliche und eine Wirkliche Chronik Von Orvieto</t>
  </si>
  <si>
    <t>Himmelstern, Alex</t>
  </si>
  <si>
    <t>https://ebookcentral.proquest.com/lib/iuavit/detail.action?docID=7015147</t>
  </si>
  <si>
    <t>Zeichentragende Artefakte Im Sakralen Raum : Zwischen Präsenz und Unsichtbarkeit</t>
  </si>
  <si>
    <t>Keil, Wilfried E.;Kiyanrad, Sarah;Theis, Christoffer;Willer, Laura</t>
  </si>
  <si>
    <t>https://ebookcentral.proquest.com/lib/iuavit/detail.action?docID=7015148</t>
  </si>
  <si>
    <t>Grundriss der Encyklopädie der Theologie</t>
  </si>
  <si>
    <t>Dorner, A.</t>
  </si>
  <si>
    <t>https://ebookcentral.proquest.com/lib/iuavit/detail.action?docID=7015149</t>
  </si>
  <si>
    <t>Willkür Oder Mathematische Überlegung Beim Bau der Cheopspyramide?</t>
  </si>
  <si>
    <t>Kleppisch, K.</t>
  </si>
  <si>
    <t>https://ebookcentral.proquest.com/lib/iuavit/detail.action?docID=7015150</t>
  </si>
  <si>
    <t>Österreichs Skisport Im Nationalsozialismus : Anpassung - Verfolgung - Kollaboration</t>
  </si>
  <si>
    <t>Praher, Andreas</t>
  </si>
  <si>
    <t>https://ebookcentral.proquest.com/lib/iuavit/detail.action?docID=7015151</t>
  </si>
  <si>
    <t>Explorations of the Syntax-Semantics Interface</t>
  </si>
  <si>
    <t>Fleischhauer, Jens;Latrouite, Anja;Osswald, Rainer</t>
  </si>
  <si>
    <t>https://ebookcentral.proquest.com/lib/iuavit/detail.action?docID=7015152</t>
  </si>
  <si>
    <t>Der Heeresdienst Von Christen in der Römischen Kaiserzeit : Studien Zu Tertullian, Clemens und Origenes</t>
  </si>
  <si>
    <t>Gerstacker, Andreas</t>
  </si>
  <si>
    <t>https://ebookcentral.proquest.com/lib/iuavit/detail.action?docID=7015153</t>
  </si>
  <si>
    <t>Literary Translation, Reception, and Transfer</t>
  </si>
  <si>
    <t>Bachleitner, Norbert</t>
  </si>
  <si>
    <t>https://ebookcentral.proquest.com/lib/iuavit/detail.action?docID=7015154</t>
  </si>
  <si>
    <t>Säkulare Aspekte der Reformationszeit</t>
  </si>
  <si>
    <t>Angermeier, Heinz;Seyboth, Reinhard</t>
  </si>
  <si>
    <t>943/.03</t>
  </si>
  <si>
    <t>https://ebookcentral.proquest.com/lib/iuavit/detail.action?docID=7015155</t>
  </si>
  <si>
    <t>Deutsch Als Verkehrssprache in Europa</t>
  </si>
  <si>
    <t>Born, Joachim;Stickel, Gerhard</t>
  </si>
  <si>
    <t>https://ebookcentral.proquest.com/lib/iuavit/detail.action?docID=7015156</t>
  </si>
  <si>
    <t>Filming, Researching, Annotating : Research Video Handbook</t>
  </si>
  <si>
    <t>https://ebookcentral.proquest.com/lib/iuavit/detail.action?docID=7015157</t>
  </si>
  <si>
    <t>Sequence Comparison in Historical Linguistics</t>
  </si>
  <si>
    <t>List, Mattis</t>
  </si>
  <si>
    <t>https://ebookcentral.proquest.com/lib/iuavit/detail.action?docID=7015158</t>
  </si>
  <si>
    <t>Developing Heritage - Developing Countries : Ethiopian Nation-Building and the Origins of UNESCO World Heritage, 1960-1980</t>
  </si>
  <si>
    <t>Huber, Marie</t>
  </si>
  <si>
    <t>https://ebookcentral.proquest.com/lib/iuavit/detail.action?docID=7015159</t>
  </si>
  <si>
    <t>Rationale Entscheidungen Unter Unsicherheit</t>
  </si>
  <si>
    <t>Fleischer, Bernhard;Lauterbach, Reiner;Pawlik, Kurt</t>
  </si>
  <si>
    <t>https://ebookcentral.proquest.com/lib/iuavit/detail.action?docID=7015160</t>
  </si>
  <si>
    <t>G. Ch. Lichtenberg in Seiner Stellung Zur Deutschen Literatur</t>
  </si>
  <si>
    <t>Kleineibst, Richard</t>
  </si>
  <si>
    <t>https://ebookcentral.proquest.com/lib/iuavit/detail.action?docID=7015161</t>
  </si>
  <si>
    <t>Les Normes de Prononciation du Français : Une étude Perceptive Panfrancophone</t>
  </si>
  <si>
    <t>Chalier, Marc</t>
  </si>
  <si>
    <t>https://ebookcentral.proquest.com/lib/iuavit/detail.action?docID=7015162</t>
  </si>
  <si>
    <t>Wie Sah Goethe Aus?</t>
  </si>
  <si>
    <t>Stahl, Fritz</t>
  </si>
  <si>
    <t>https://ebookcentral.proquest.com/lib/iuavit/detail.action?docID=7015163</t>
  </si>
  <si>
    <t>Über Wissenschaft Reden : Studien Zu Sprachgebrauch, Darstellung und Adressierung in der Deutschsprachigen Wissenschaftsprosa Um 1800</t>
  </si>
  <si>
    <t>Haas, Claude;Weidner, Daniel</t>
  </si>
  <si>
    <t>https://ebookcentral.proquest.com/lib/iuavit/detail.action?docID=7015164</t>
  </si>
  <si>
    <t>Recht der öffentlichen Sachen</t>
  </si>
  <si>
    <t>Papier, Hans-Jürgen</t>
  </si>
  <si>
    <t>https://ebookcentral.proquest.com/lib/iuavit/detail.action?docID=7015165</t>
  </si>
  <si>
    <t>System- and Data-Driven Methods and Algorithms</t>
  </si>
  <si>
    <t>https://ebookcentral.proquest.com/lib/iuavit/detail.action?docID=7015166</t>
  </si>
  <si>
    <t>Platons Parmenides, Als Dialektisches Kunstwerk Dargestellt</t>
  </si>
  <si>
    <t>1821-04-01</t>
  </si>
  <si>
    <t>Plato;Schmidt, Theodor Karl</t>
  </si>
  <si>
    <t>https://ebookcentral.proquest.com/lib/iuavit/detail.action?docID=7015167</t>
  </si>
  <si>
    <t>Poetas Hispanoamericanas Contemporáneas : Poéticas y Metapoéticas (siglos XX-XXI)</t>
  </si>
  <si>
    <t>Rodríguez Gutiérrez, Milena</t>
  </si>
  <si>
    <t>https://ebookcentral.proquest.com/lib/iuavit/detail.action?docID=7015168</t>
  </si>
  <si>
    <t>Scientific Writing and Publishing in Medicine and Health Sciences : A Quick Guide in English and German</t>
  </si>
  <si>
    <t>Kotz, Daniel;Cals, Jochen</t>
  </si>
  <si>
    <t>https://ebookcentral.proquest.com/lib/iuavit/detail.action?docID=7015169</t>
  </si>
  <si>
    <t>Trading Zones of Digital History</t>
  </si>
  <si>
    <t>Kemman, Max</t>
  </si>
  <si>
    <t>https://ebookcentral.proquest.com/lib/iuavit/detail.action?docID=7015170</t>
  </si>
  <si>
    <t>Die Marokkofrage und Die Konferenz Von Algeciras</t>
  </si>
  <si>
    <t>Diercks, Gustav</t>
  </si>
  <si>
    <t>https://ebookcentral.proquest.com/lib/iuavit/detail.action?docID=7015171</t>
  </si>
  <si>
    <t>Die Poesie der Dinge : Ziele und Strategien der Wissensvermittlung Im Lateinischen Lehrgedicht der Frühen Neuzeit</t>
  </si>
  <si>
    <t>Markevičiūtė, Ramunė;Roling, Bernd</t>
  </si>
  <si>
    <t>https://ebookcentral.proquest.com/lib/iuavit/detail.action?docID=7015172</t>
  </si>
  <si>
    <t>Grundriss der Ultraviolett- und Infrarot-Behandlung</t>
  </si>
  <si>
    <t>Kunze, Harald M.</t>
  </si>
  <si>
    <t>https://ebookcentral.proquest.com/lib/iuavit/detail.action?docID=7015173</t>
  </si>
  <si>
    <t>History and Drama : The Pan-European Tradition</t>
  </si>
  <si>
    <t>Küpper, Joachim;Mosch, Jan;Penskaya, Elena</t>
  </si>
  <si>
    <t>https://ebookcentral.proquest.com/lib/iuavit/detail.action?docID=7015174</t>
  </si>
  <si>
    <t>Stilfragen</t>
  </si>
  <si>
    <t>https://ebookcentral.proquest.com/lib/iuavit/detail.action?docID=7015175</t>
  </si>
  <si>
    <t>Die Vorgänge der Inneren Politik Seit der Thronbesteigung Kaiser Wilhelms II</t>
  </si>
  <si>
    <t>1888-04-01</t>
  </si>
  <si>
    <t>Roessler, Konstantin</t>
  </si>
  <si>
    <t>https://ebookcentral.proquest.com/lib/iuavit/detail.action?docID=7015176</t>
  </si>
  <si>
    <t>Funktionsverbgefüge des Deutschen : Untersuchungen Zu Einer Kategorie Zwischen Lexikon und Grammatik</t>
  </si>
  <si>
    <t>Harm, Volker</t>
  </si>
  <si>
    <t>https://ebookcentral.proquest.com/lib/iuavit/detail.action?docID=7015177</t>
  </si>
  <si>
    <t>Grundkurs Strafrecht : Die Einzelnen Delikte</t>
  </si>
  <si>
    <t>Otto, Harro</t>
  </si>
  <si>
    <t>https://ebookcentral.proquest.com/lib/iuavit/detail.action?docID=7015178</t>
  </si>
  <si>
    <t>Natural Communication : The Obstacle-Embracing Art of Abstract Gnomonics</t>
  </si>
  <si>
    <t>Zafiris, Elias;Hovestadt, Ludger;Bühlmann, Vera</t>
  </si>
  <si>
    <t>https://ebookcentral.proquest.com/lib/iuavit/detail.action?docID=7015179</t>
  </si>
  <si>
    <t>Geschichte der Islamischen Völker und Staaten</t>
  </si>
  <si>
    <t>Brockelmann, Carl</t>
  </si>
  <si>
    <t>https://ebookcentral.proquest.com/lib/iuavit/detail.action?docID=7015180</t>
  </si>
  <si>
    <t>Medizinische Informationsverarbeitung : Planung und Organisation</t>
  </si>
  <si>
    <t>Hoffmann, Michael J. A.</t>
  </si>
  <si>
    <t>https://ebookcentral.proquest.com/lib/iuavit/detail.action?docID=7015181</t>
  </si>
  <si>
    <t>Bild und Schrift Auf 'magischen' Artefakten</t>
  </si>
  <si>
    <t>Kiyanrad, Sarah;Theis, Christoffer;Willer, Laura</t>
  </si>
  <si>
    <t>https://ebookcentral.proquest.com/lib/iuavit/detail.action?docID=7015182</t>
  </si>
  <si>
    <t>Dostoevskij and Schiller</t>
  </si>
  <si>
    <t>Lyngstad, Alexandra H.</t>
  </si>
  <si>
    <t>https://ebookcentral.proquest.com/lib/iuavit/detail.action?docID=7015183</t>
  </si>
  <si>
    <t>Die Mitschuldigen : Ein Lustspiel</t>
  </si>
  <si>
    <t>1787-04-01</t>
  </si>
  <si>
    <t>Goethe, W.</t>
  </si>
  <si>
    <t>https://ebookcentral.proquest.com/lib/iuavit/detail.action?docID=7015184</t>
  </si>
  <si>
    <t>Die Reformation und das Elsaß : Festschrift Zur 400 Jährigen Jubelfeier der Reformation</t>
  </si>
  <si>
    <t>Grünberg, Paul;Grünberg, Paul</t>
  </si>
  <si>
    <t>https://ebookcentral.proquest.com/lib/iuavit/detail.action?docID=7015185</t>
  </si>
  <si>
    <t>Sprache und Neue Medien</t>
  </si>
  <si>
    <t>Kallmeyer, Werner</t>
  </si>
  <si>
    <t>https://ebookcentral.proquest.com/lib/iuavit/detail.action?docID=7015186</t>
  </si>
  <si>
    <t>Francesco Da Barberino Al Crocevia : Culture, Società, Bilinguismo</t>
  </si>
  <si>
    <t>Bischetti, Sara;Montefusco, Antonio</t>
  </si>
  <si>
    <t>https://ebookcentral.proquest.com/lib/iuavit/detail.action?docID=7015187</t>
  </si>
  <si>
    <t>Geschichte der Deutschen in England : Von Den Ersten Germanischen Ansiedlungen in Britannien Bis Zum Ende des 18. Jahrhunderts</t>
  </si>
  <si>
    <t>1885-04-01</t>
  </si>
  <si>
    <t>Schaible, Karl Heinrich</t>
  </si>
  <si>
    <t>https://ebookcentral.proquest.com/lib/iuavit/detail.action?docID=7015188</t>
  </si>
  <si>
    <t>The Good Christian Ruler in the First Millennium : Views from the Wider Mediterranean World in Conversation</t>
  </si>
  <si>
    <t>Forness, Philip Michael;Hasse-Ungeheuer, Alexandra;Leppin, Hartmut</t>
  </si>
  <si>
    <t>909/.09822</t>
  </si>
  <si>
    <t>https://ebookcentral.proquest.com/lib/iuavit/detail.action?docID=7015189</t>
  </si>
  <si>
    <t>Praxishandbuch Forschungsdatenmanagement</t>
  </si>
  <si>
    <t>Putnings, Markus;Neuroth, Heike;Neumann, Janna</t>
  </si>
  <si>
    <t>https://ebookcentral.proquest.com/lib/iuavit/detail.action?docID=7015190</t>
  </si>
  <si>
    <t>Das Publikum Politischer Theorie Im 14. Jahrhundert</t>
  </si>
  <si>
    <t>Miethke, Jürgen;Bühler, Arnold</t>
  </si>
  <si>
    <t>https://ebookcentral.proquest.com/lib/iuavit/detail.action?docID=7015191</t>
  </si>
  <si>
    <t>Reform des Deutschen Namensrechts</t>
  </si>
  <si>
    <t>Dutta, Anatol</t>
  </si>
  <si>
    <t>https://ebookcentral.proquest.com/lib/iuavit/detail.action?docID=7015192</t>
  </si>
  <si>
    <t>Assessment of General Practitioners' Performance in Daily Practice : The EURACT Performance Agenda of General Practice/Family Medicine</t>
  </si>
  <si>
    <t>Wilm, Stefan</t>
  </si>
  <si>
    <t>https://ebookcentral.proquest.com/lib/iuavit/detail.action?docID=7015193</t>
  </si>
  <si>
    <t>Am Rande der Fotografie : Eine Medialitätsgeschichte des Fotogramms Im 19. Jahrhundert</t>
  </si>
  <si>
    <t>Steidl, Katharina</t>
  </si>
  <si>
    <t>https://ebookcentral.proquest.com/lib/iuavit/detail.action?docID=7015194</t>
  </si>
  <si>
    <t>Deutsche Juden und Die Moderne</t>
  </si>
  <si>
    <t>Volkov, Shulamit;Müller-Luckner, Elisabeth</t>
  </si>
  <si>
    <t>https://ebookcentral.proquest.com/lib/iuavit/detail.action?docID=7015195</t>
  </si>
  <si>
    <t>Vanitas und Gesellschaft</t>
  </si>
  <si>
    <t>Benthien, Claudia;Schmidt, Antje;Wobbeler, Christian</t>
  </si>
  <si>
    <t>https://ebookcentral.proquest.com/lib/iuavit/detail.action?docID=7015196</t>
  </si>
  <si>
    <t>Touch in the Time of Corona : Reflections on Love, Care, and Vulnerability in the Pandemic</t>
  </si>
  <si>
    <t>Steiner, Henriette;Veel, Kristin</t>
  </si>
  <si>
    <t>362.1962/414</t>
  </si>
  <si>
    <t>https://ebookcentral.proquest.com/lib/iuavit/detail.action?docID=7015197</t>
  </si>
  <si>
    <t>Vergemeinschaftung und Distinktion : Eine Gesprächsanalytische Studie über Positionierungspraktiken in Diskussionen über TV-Serien</t>
  </si>
  <si>
    <t>Weiser-Zurmühlen, Kristin</t>
  </si>
  <si>
    <t>https://ebookcentral.proquest.com/lib/iuavit/detail.action?docID=7015198</t>
  </si>
  <si>
    <t>Wohnungsgesetz und Bürgschaftssicherungsgesetz</t>
  </si>
  <si>
    <t>Schmittmann, Benedikt</t>
  </si>
  <si>
    <t>https://ebookcentral.proquest.com/lib/iuavit/detail.action?docID=7015199</t>
  </si>
  <si>
    <t>Japan-Pop-Revolution : Neue Trends der Japanischen Gesellschaft Reflektiert in der Popkultur</t>
  </si>
  <si>
    <t>Mae, Michiko;Scherer, Elisabeth</t>
  </si>
  <si>
    <t>https://ebookcentral.proquest.com/lib/iuavit/detail.action?docID=7015200</t>
  </si>
  <si>
    <t>Instruments and Related Concepts at the Syntax-Semantics Interface</t>
  </si>
  <si>
    <t>Van Hooste, Koen</t>
  </si>
  <si>
    <t>https://ebookcentral.proquest.com/lib/iuavit/detail.action?docID=7015201</t>
  </si>
  <si>
    <t>Die Geschichtlichkeit des Briefs : Kontinuität und Wandel Einer Kommunikationsform</t>
  </si>
  <si>
    <t>Kasper, Norman;Kittelmann, Jana;Strobel, Jochen;Vellusig, Robert</t>
  </si>
  <si>
    <t>https://ebookcentral.proquest.com/lib/iuavit/detail.action?docID=7015202</t>
  </si>
  <si>
    <t>Architecture and Naturing Affairs</t>
  </si>
  <si>
    <t>An, Mihye;Hovestadt, Ludger</t>
  </si>
  <si>
    <t>720.1/05</t>
  </si>
  <si>
    <t>https://ebookcentral.proquest.com/lib/iuavit/detail.action?docID=7015203</t>
  </si>
  <si>
    <t>Archive in/aus Literatur : Wechselspiele Zweier Medien</t>
  </si>
  <si>
    <t>Kastberger, Klaus;Neuhuber, Christian</t>
  </si>
  <si>
    <t>Library Science; Museums; Literature</t>
  </si>
  <si>
    <t>https://ebookcentral.proquest.com/lib/iuavit/detail.action?docID=7015204</t>
  </si>
  <si>
    <t>The Politics of Dementia : Forgetting and Remembering the Violent Past in Literature, Film and Graphic Narratives</t>
  </si>
  <si>
    <t>Krüger-Fürhoff, Irmela Marei;Schmidt, Nina;Vice, Sue</t>
  </si>
  <si>
    <t>https://ebookcentral.proquest.com/lib/iuavit/detail.action?docID=7015205</t>
  </si>
  <si>
    <t>Gewalt in Laktanz' de Mortibus Persecutorum</t>
  </si>
  <si>
    <t>Zipp, Gianna</t>
  </si>
  <si>
    <t>https://ebookcentral.proquest.com/lib/iuavit/detail.action?docID=7015206</t>
  </si>
  <si>
    <t>Magnetic Hybrid-Materials : Multi-Scale Modelling, Synthesis, and Applications</t>
  </si>
  <si>
    <t>Odenbach, Stefan</t>
  </si>
  <si>
    <t>https://ebookcentral.proquest.com/lib/iuavit/detail.action?docID=7015207</t>
  </si>
  <si>
    <t>Leibniz Als Historiker</t>
  </si>
  <si>
    <t>Hochstetter, Erich</t>
  </si>
  <si>
    <t>https://ebookcentral.proquest.com/lib/iuavit/detail.action?docID=7015208</t>
  </si>
  <si>
    <t>Ergonomics for People with Disabilities : Design for Accessibility</t>
  </si>
  <si>
    <t>Polak-Sopinska, Aleksandra;Królikowski, Jan</t>
  </si>
  <si>
    <t>Architecture; Philosophy; Social Science</t>
  </si>
  <si>
    <t>https://ebookcentral.proquest.com/lib/iuavit/detail.action?docID=7015209</t>
  </si>
  <si>
    <t>Morphosyntactic Variation in Medieval Celtic Languages : Corpus-Based Approaches</t>
  </si>
  <si>
    <t>Lash, Elliott;Qiu, Fangzhe;Stifter, David</t>
  </si>
  <si>
    <t>https://ebookcentral.proquest.com/lib/iuavit/detail.action?docID=7015210</t>
  </si>
  <si>
    <t>How Is World Literature Made? : The Global Circulations of Latin American Literatures</t>
  </si>
  <si>
    <t>https://ebookcentral.proquest.com/lib/iuavit/detail.action?docID=7015211</t>
  </si>
  <si>
    <t>Zur Griechischen Mythologie : Ein Bruchstück. Ueber Die Behandlung der Griechischen Mythologie</t>
  </si>
  <si>
    <t>Jacob, August</t>
  </si>
  <si>
    <t>https://ebookcentral.proquest.com/lib/iuavit/detail.action?docID=7015212</t>
  </si>
  <si>
    <t>Polizei und Geiseln. der Münchener Bankraub</t>
  </si>
  <si>
    <t>Schroeder, Friedrich-Christian</t>
  </si>
  <si>
    <t>https://ebookcentral.proquest.com/lib/iuavit/detail.action?docID=7015213</t>
  </si>
  <si>
    <t>Der Hofmeister und Die Gouvernante : Ein Lustspiel in 5 Aufzügen</t>
  </si>
  <si>
    <t>Metzger, Michael M.;Schmidt, Gerard F.</t>
  </si>
  <si>
    <t>https://ebookcentral.proquest.com/lib/iuavit/detail.action?docID=7015214</t>
  </si>
  <si>
    <t>The Present and Past Periphrastic Tenses in Anglo-Saxon</t>
  </si>
  <si>
    <t>Pessels, Constance</t>
  </si>
  <si>
    <t>https://ebookcentral.proquest.com/lib/iuavit/detail.action?docID=7015215</t>
  </si>
  <si>
    <t>Guidelines for Supporting Children with Disabilities' Play : Methodologies, Tools, and Contexts</t>
  </si>
  <si>
    <t>Encarnação, Pedro;Ray-Kaeser, Sylvie;Bianquin, Nicole</t>
  </si>
  <si>
    <t>Medicine; Education</t>
  </si>
  <si>
    <t>https://ebookcentral.proquest.com/lib/iuavit/detail.action?docID=7015216</t>
  </si>
  <si>
    <t>Schillers Einfluss Auf Theodor Körner : Ein Beitrag Zur Litteraturgeschichte</t>
  </si>
  <si>
    <t>Reinhard, Gustav</t>
  </si>
  <si>
    <t>https://ebookcentral.proquest.com/lib/iuavit/detail.action?docID=7015217</t>
  </si>
  <si>
    <t>Proceedings of the International Conference Sensory Motor Concepts in Language and Cognition</t>
  </si>
  <si>
    <t>Ströbel, Liane</t>
  </si>
  <si>
    <t>Language/Linguistics; Psychology</t>
  </si>
  <si>
    <t>https://ebookcentral.proquest.com/lib/iuavit/detail.action?docID=7015218</t>
  </si>
  <si>
    <t>Sprache und Recht</t>
  </si>
  <si>
    <t>Haß-Zumkehr, Ulrike</t>
  </si>
  <si>
    <t>Language/Linguistics; Law</t>
  </si>
  <si>
    <t>https://ebookcentral.proquest.com/lib/iuavit/detail.action?docID=7015219</t>
  </si>
  <si>
    <t>Wettbewerbsfähigkeit Von Start-Ups : Erfolgreiche düsseldorfer Unternehmen</t>
  </si>
  <si>
    <t>Lutz, Eva;Süß, Stefan</t>
  </si>
  <si>
    <t>https://ebookcentral.proquest.com/lib/iuavit/detail.action?docID=7015220</t>
  </si>
  <si>
    <t>Elektronische Tischrechenautomaten : Aufbau und Wirkungsweise</t>
  </si>
  <si>
    <t>Mösl, Georg</t>
  </si>
  <si>
    <t>https://ebookcentral.proquest.com/lib/iuavit/detail.action?docID=7015221</t>
  </si>
  <si>
    <t>Die Begründung des Realen : Hegels ,,Logik Im Kontext der Realitätsdebatte Um 1800</t>
  </si>
  <si>
    <t>Wirsing, Claudia</t>
  </si>
  <si>
    <t>https://ebookcentral.proquest.com/lib/iuavit/detail.action?docID=7015222</t>
  </si>
  <si>
    <t>Inszenierte Geschichte | Staging History : Medialität und Politik Europäischer Hochschuljubiläen Von 1850 Bis Heute | Anniversaries in European Institutions of Higher Learning from 1850 to the Present</t>
  </si>
  <si>
    <t>Guhl, Anton;Hürlimann, Gisela</t>
  </si>
  <si>
    <t>https://ebookcentral.proquest.com/lib/iuavit/detail.action?docID=7015223</t>
  </si>
  <si>
    <t>In Diensten des Afrikanischen Sozialismus : Tansania und Die Globale Entwicklungsarbeit der Beiden Deutschen Staaten, 1961-1990</t>
  </si>
  <si>
    <t>Burton, Eric</t>
  </si>
  <si>
    <t>https://ebookcentral.proquest.com/lib/iuavit/detail.action?docID=7015224</t>
  </si>
  <si>
    <t>Neues Aus Wissenschaft und Lehre : Jahrbuch der Heinrich-Heine-Universität Düsseldorf 2008/2009</t>
  </si>
  <si>
    <t>https://ebookcentral.proquest.com/lib/iuavit/detail.action?docID=7015225</t>
  </si>
  <si>
    <t>Das Disziplinargesetz der Evangelischen Kirche in Deutschland Vom 11. März 1955 : Sowie Die Verordnung der Evangelischen Kirche der Union über das Disziplinarrecht Vom 14. Mai 1956 Nebst Den Überleitungsgesetzen der Gliedkirchen</t>
  </si>
  <si>
    <t>Arnim, Hans von</t>
  </si>
  <si>
    <t>https://ebookcentral.proquest.com/lib/iuavit/detail.action?docID=7015226</t>
  </si>
  <si>
    <t>Einstein vs. Bergson : An Enduring Quarrel on Time</t>
  </si>
  <si>
    <t>Campo, Alessandra;Gozzano, Simone</t>
  </si>
  <si>
    <t>https://ebookcentral.proquest.com/lib/iuavit/detail.action?docID=7015227</t>
  </si>
  <si>
    <t>Men, Masculinities and the Modern Career : Contemporary and Historical Perspectives</t>
  </si>
  <si>
    <t>Aavik, Kadri;Bland, Clarice;Hoegaerts, Josephine;Salminen, Janne Tuomas Vilhelm</t>
  </si>
  <si>
    <t>https://ebookcentral.proquest.com/lib/iuavit/detail.action?docID=7015228</t>
  </si>
  <si>
    <t>Immanuel Kant : Eine Gedächtnisrede Gehalten Am 100jährigen Todestage Kants, D. 12. Febr. 1904, Vor Versammelter Universität in der Collegienkirche Zu Jena</t>
  </si>
  <si>
    <t>Liebmann, Otto</t>
  </si>
  <si>
    <t>https://ebookcentral.proquest.com/lib/iuavit/detail.action?docID=7015229</t>
  </si>
  <si>
    <t>Das Preußische Disziplinargesetz Für Die Nichtrichterlichen Beamten Nebst Dem Disziplinargesetze Für Die Privatdozenten</t>
  </si>
  <si>
    <t>Dultzig, Eugen</t>
  </si>
  <si>
    <t>https://ebookcentral.proquest.com/lib/iuavit/detail.action?docID=7015230</t>
  </si>
  <si>
    <t>La Literatura Latinoamericana en Versión Francesa : Trabajos Del Equipo MEDET LAT</t>
  </si>
  <si>
    <t>Guerrero, Gustavo;Camenen, Gersende</t>
  </si>
  <si>
    <t>https://ebookcentral.proquest.com/lib/iuavit/detail.action?docID=7015231</t>
  </si>
  <si>
    <t>Genre in the Climate Debate</t>
  </si>
  <si>
    <t>Auken, Sune;Sunesen, Christel</t>
  </si>
  <si>
    <t>https://ebookcentral.proquest.com/lib/iuavit/detail.action?docID=7015232</t>
  </si>
  <si>
    <t>Zur Analysis des Endlichen und des Unendlichen : Vorlesungen Aus Kurzsemestern</t>
  </si>
  <si>
    <t>Kowalewski, Gerhard</t>
  </si>
  <si>
    <t>https://ebookcentral.proquest.com/lib/iuavit/detail.action?docID=7015233</t>
  </si>
  <si>
    <t>Reformen Im Rheinbündischen Deutschland</t>
  </si>
  <si>
    <t>Weis, Eberhard;Müller-Luckner, Elisabeth</t>
  </si>
  <si>
    <t>943/.4206</t>
  </si>
  <si>
    <t>https://ebookcentral.proquest.com/lib/iuavit/detail.action?docID=7015234</t>
  </si>
  <si>
    <t>Nationalism in a Transnational Age : Irrational Fears and the Strategic Abuse of Nationalist Pride</t>
  </si>
  <si>
    <t>Jacob, Frank;Schapkow, Carsten</t>
  </si>
  <si>
    <t>https://ebookcentral.proquest.com/lib/iuavit/detail.action?docID=7015235</t>
  </si>
  <si>
    <t>Kriminaltherapie Heute : Forschungsberichte Zur Behandlung Von Delinquenten und Drogengeschädigten</t>
  </si>
  <si>
    <t>Müller-Dietz, Heinz;Kolloquium der Südwestdeutschen Kriminologischen Institute;Kolloquium der Südwestdeutschen Kriminologischen Institute &lt;8, 1972, Otzenhausen&gt;</t>
  </si>
  <si>
    <t>https://ebookcentral.proquest.com/lib/iuavit/detail.action?docID=7015236</t>
  </si>
  <si>
    <t>Goethe und Die Geschichte</t>
  </si>
  <si>
    <t>Meinecke, Friedrich</t>
  </si>
  <si>
    <t>https://ebookcentral.proquest.com/lib/iuavit/detail.action?docID=7015237</t>
  </si>
  <si>
    <t>Von der Renaissance Bis Zur Aufklärung</t>
  </si>
  <si>
    <t>Schubel, Friedrich</t>
  </si>
  <si>
    <t>https://ebookcentral.proquest.com/lib/iuavit/detail.action?docID=7015238</t>
  </si>
  <si>
    <t>Die Stadt Als Beschriebener Raum : Die Beispiele Pompeji und Herculaneum</t>
  </si>
  <si>
    <t>Opdenhoff, Fanny</t>
  </si>
  <si>
    <t>https://ebookcentral.proquest.com/lib/iuavit/detail.action?docID=7015239</t>
  </si>
  <si>
    <t>Wachstum und Entwicklung : Theorie der Entwicklungspolitik</t>
  </si>
  <si>
    <t>Wagner, Helmut</t>
  </si>
  <si>
    <t>https://ebookcentral.proquest.com/lib/iuavit/detail.action?docID=7015240</t>
  </si>
  <si>
    <t>Das Deutsche Als Europäische Sprache : Ein Porträt</t>
  </si>
  <si>
    <t>Zifonun, Gisela</t>
  </si>
  <si>
    <t>https://ebookcentral.proquest.com/lib/iuavit/detail.action?docID=7015241</t>
  </si>
  <si>
    <t>They Did Not Stop at Eboli : UNESCO and the Campaign Against Illiteracy in a Reportage by David Chim Seymour and Carlo Levi (1950)</t>
  </si>
  <si>
    <t>Priem, Karin;Hendel, Giovanna;Naggar, Carole</t>
  </si>
  <si>
    <t>https://ebookcentral.proquest.com/lib/iuavit/detail.action?docID=7015242</t>
  </si>
  <si>
    <t>Deutsch - Typologisch</t>
  </si>
  <si>
    <t>Lang, Ewald;Zifonun, Gisela</t>
  </si>
  <si>
    <t>https://ebookcentral.proquest.com/lib/iuavit/detail.action?docID=7015243</t>
  </si>
  <si>
    <t>Agonal Perspectives on Nietzsche's Philosophy of Critical Transvaluation</t>
  </si>
  <si>
    <t>Siemens, Herman W.</t>
  </si>
  <si>
    <t>https://ebookcentral.proquest.com/lib/iuavit/detail.action?docID=7015244</t>
  </si>
  <si>
    <t>Democratic State and Democratic Society : Institutional Change in the Nordic Model</t>
  </si>
  <si>
    <t>Engelstad, Fredrik;Holst, Cathrine;Aakvaag, Gunnar C.</t>
  </si>
  <si>
    <t>https://ebookcentral.proquest.com/lib/iuavit/detail.action?docID=7015245</t>
  </si>
  <si>
    <t>Lernwelt Hochschule : Dimensionen Eines Bildungsbereichs Im Umbruch</t>
  </si>
  <si>
    <t>Becker, Alexandra;Stang, Richard</t>
  </si>
  <si>
    <t>https://ebookcentral.proquest.com/lib/iuavit/detail.action?docID=7015246</t>
  </si>
  <si>
    <t>Jüdische Expatriates in China und Hong Kong Nach 1976 : Religiöse Dynamik Im Zeichen der Expat-Migration</t>
  </si>
  <si>
    <t>Pătru, Alina</t>
  </si>
  <si>
    <t>https://ebookcentral.proquest.com/lib/iuavit/detail.action?docID=7015247</t>
  </si>
  <si>
    <t>Hamburgisches Hafen- und Schiffahrtsrecht</t>
  </si>
  <si>
    <t>Küster, Karl;Küster, Karl</t>
  </si>
  <si>
    <t>https://ebookcentral.proquest.com/lib/iuavit/detail.action?docID=7015248</t>
  </si>
  <si>
    <t>The Politics of Housing in (Post-)Colonial Africa : Accommodating Workers and Urban Residents</t>
  </si>
  <si>
    <t>Rüther, Kirsten;Barker-Ciganikova, Martina;Waldburger, Daniela;Bodenstein, Carl-Philipp</t>
  </si>
  <si>
    <t>HD7372.A3P65 2020</t>
  </si>
  <si>
    <t>https://ebookcentral.proquest.com/lib/iuavit/detail.action?docID=7015249</t>
  </si>
  <si>
    <t>Deutsche Syntax : Ansichten und Aussichten</t>
  </si>
  <si>
    <t>Hoffmann, Ludger</t>
  </si>
  <si>
    <t>https://ebookcentral.proquest.com/lib/iuavit/detail.action?docID=7015250</t>
  </si>
  <si>
    <t>The Meaning of Media : Texts and Materiality in Medieval Scandinavia</t>
  </si>
  <si>
    <t>Horn, Anna Catharina;Johansson, Karl G.</t>
  </si>
  <si>
    <t>https://ebookcentral.proquest.com/lib/iuavit/detail.action?docID=7015251</t>
  </si>
  <si>
    <t>Mechanik der Punkte und Punktsysteme</t>
  </si>
  <si>
    <t>1890-04-01</t>
  </si>
  <si>
    <t>Budde, E.</t>
  </si>
  <si>
    <t>https://ebookcentral.proquest.com/lib/iuavit/detail.action?docID=7015252</t>
  </si>
  <si>
    <t>Precious Irony : The Theatre of Jean Giraudoux</t>
  </si>
  <si>
    <t>Mankin, Paul A.</t>
  </si>
  <si>
    <t>https://ebookcentral.proquest.com/lib/iuavit/detail.action?docID=7015253</t>
  </si>
  <si>
    <t>Meeresalgen Fuer Die Menschliche Ernährung</t>
  </si>
  <si>
    <t>Science: General; General Works/Reference</t>
  </si>
  <si>
    <t>https://ebookcentral.proquest.com/lib/iuavit/detail.action?docID=7015254</t>
  </si>
  <si>
    <t>The Fish Lands : German Trade with Iceland, Shetland and the Faroe Islands in the Late 15th and 16th Century</t>
  </si>
  <si>
    <t>Holterman, Bart</t>
  </si>
  <si>
    <t>https://ebookcentral.proquest.com/lib/iuavit/detail.action?docID=7015255</t>
  </si>
  <si>
    <t>Was Ist Gesundheit? : Interdisziplinäre Perspektiven Aus Medizin, Geschichte und Kultur</t>
  </si>
  <si>
    <t>Eijk, Philip;Ganten, Detlev;Marek, Roman</t>
  </si>
  <si>
    <t>Medicine; Philosophy</t>
  </si>
  <si>
    <t>https://ebookcentral.proquest.com/lib/iuavit/detail.action?docID=7015256</t>
  </si>
  <si>
    <t>Lateinische Dichtungen Zur Deutschen Geschichte des Mittelalters</t>
  </si>
  <si>
    <t>Kaiser, Andreas</t>
  </si>
  <si>
    <t>https://ebookcentral.proquest.com/lib/iuavit/detail.action?docID=7015257</t>
  </si>
  <si>
    <t>Challenging the City Scale : Journeys in People-Centred Design</t>
  </si>
  <si>
    <t>Cité du Design, Cité du;CLEAR VILLAGE, Clear</t>
  </si>
  <si>
    <t>720.1/03</t>
  </si>
  <si>
    <t>https://ebookcentral.proquest.com/lib/iuavit/detail.action?docID=7015258</t>
  </si>
  <si>
    <t>Commentar Zu Den Reliefs des Zweiten Dakischen Krieges</t>
  </si>
  <si>
    <t>Conrad, Cichorius</t>
  </si>
  <si>
    <t>https://ebookcentral.proquest.com/lib/iuavit/detail.action?docID=7015259</t>
  </si>
  <si>
    <t>Theorie der Kosten</t>
  </si>
  <si>
    <t>Mellerowicz, Konrad</t>
  </si>
  <si>
    <t>https://ebookcentral.proquest.com/lib/iuavit/detail.action?docID=7015260</t>
  </si>
  <si>
    <t>Führungskräfte Im Betrieb : Planung, Einsatz, Entwicklung</t>
  </si>
  <si>
    <t>Chorafas, Dimitris N.;Ortner, Gerhard E.</t>
  </si>
  <si>
    <t>https://ebookcentral.proquest.com/lib/iuavit/detail.action?docID=7015261</t>
  </si>
  <si>
    <t>Der Papst : Nöthige Aufklärungen Aus der Geschichte</t>
  </si>
  <si>
    <t>1839-04-01</t>
  </si>
  <si>
    <t>https://ebookcentral.proquest.com/lib/iuavit/detail.action?docID=7015262</t>
  </si>
  <si>
    <t>Climate Lyricism</t>
  </si>
  <si>
    <t>Song, Min Hyoung</t>
  </si>
  <si>
    <t>https://ebookcentral.proquest.com/lib/iuavit/detail.action?docID=7015277</t>
  </si>
  <si>
    <t>Travel Writings on Asia : Curiosity, Identities, and Knowledge Across the East, C. 1200 to the Present</t>
  </si>
  <si>
    <t>Mueller, Christian;Salonia, Matteo</t>
  </si>
  <si>
    <t>DS1-937</t>
  </si>
  <si>
    <t>https://ebookcentral.proquest.com/lib/iuavit/detail.action?docID=7015337</t>
  </si>
  <si>
    <t>Mapping Selfies and Memes As Touch</t>
  </si>
  <si>
    <t>Andreallo, Fiona</t>
  </si>
  <si>
    <t>https://ebookcentral.proquest.com/lib/iuavit/detail.action?docID=7015360</t>
  </si>
  <si>
    <t>Beyond Data : Human Rights, Ethical and Social Impact Assessment in AI</t>
  </si>
  <si>
    <t>Mantelero, Alessandro</t>
  </si>
  <si>
    <t>https://ebookcentral.proquest.com/lib/iuavit/detail.action?docID=7015364</t>
  </si>
  <si>
    <t>Christliches Leben und Die Verbesserung des Menschen : Enhancement und Heiligung Bei Calvin</t>
  </si>
  <si>
    <t>Felder, Matthias</t>
  </si>
  <si>
    <t>https://ebookcentral.proquest.com/lib/iuavit/detail.action?docID=7015379</t>
  </si>
  <si>
    <t>1722-1730</t>
  </si>
  <si>
    <t>Döring, Detlef;Otto, Rüdiger;Schlott, Michael;Menzel, Franziska</t>
  </si>
  <si>
    <t>831/.5</t>
  </si>
  <si>
    <t>https://ebookcentral.proquest.com/lib/iuavit/detail.action?docID=7015380</t>
  </si>
  <si>
    <t>Les Portraits de Marie-Thérèse : Représentation et Lien Politique Dans la Monarchie des Habsbourg (1740-1780)</t>
  </si>
  <si>
    <t>Banakas, Anne-Sophie</t>
  </si>
  <si>
    <t>https://ebookcentral.proquest.com/lib/iuavit/detail.action?docID=7015381</t>
  </si>
  <si>
    <t>Rethinking Orality I : Codification, Transcodification and Transmission of 'Cultural Messages'</t>
  </si>
  <si>
    <t>Ercolani, Andrea;Lulli, Laura</t>
  </si>
  <si>
    <t>https://ebookcentral.proquest.com/lib/iuavit/detail.action?docID=7015382</t>
  </si>
  <si>
    <t>A Grammar of yélî Dnye : The Papuan Language of Rossel Island</t>
  </si>
  <si>
    <t>Levinson, Stephen C.</t>
  </si>
  <si>
    <t>https://ebookcentral.proquest.com/lib/iuavit/detail.action?docID=7015383</t>
  </si>
  <si>
    <t>Synchronic and Diachronic Aspects of Kanashi</t>
  </si>
  <si>
    <t>Saxena, Anju;Borin, Lars</t>
  </si>
  <si>
    <t>495/.47</t>
  </si>
  <si>
    <t>https://ebookcentral.proquest.com/lib/iuavit/detail.action?docID=7015384</t>
  </si>
  <si>
    <t>Konstruktionen Zwischen Lexikon und Grammatik : Phrasem-Konstruktionen Monolingual, Bilingual und Multilingual</t>
  </si>
  <si>
    <t>Mellado Blanco, Carmen;Mollica, Fabio;Schafroth, Elmar</t>
  </si>
  <si>
    <t>https://ebookcentral.proquest.com/lib/iuavit/detail.action?docID=7015385</t>
  </si>
  <si>
    <t>Mikrogeschichten der Erinnerungskultur : Am Grünen Strand der Spree und Die Remedialisierung des Holocaust by Bullets</t>
  </si>
  <si>
    <t>Saryusz-Wolska, Magdalena</t>
  </si>
  <si>
    <t>Social Science; Literature; History</t>
  </si>
  <si>
    <t>https://ebookcentral.proquest.com/lib/iuavit/detail.action?docID=7015386</t>
  </si>
  <si>
    <t>Gelenkte Sprachkraft : Planmäßige Pflege des Schriftlichen Ausdrucks in der Volksschule 2. Bis 6. Schuljahr</t>
  </si>
  <si>
    <t>Mahr, Eugen</t>
  </si>
  <si>
    <t>https://ebookcentral.proquest.com/lib/iuavit/detail.action?docID=7015387</t>
  </si>
  <si>
    <t>Portraying Cicero in Literature, Culture, and Politics : From Ancient to Modern Times</t>
  </si>
  <si>
    <t>Berno, Francesca Romana;La Bua, Giuseppe</t>
  </si>
  <si>
    <t>https://ebookcentral.proquest.com/lib/iuavit/detail.action?docID=7015389</t>
  </si>
  <si>
    <t>Marcado Diferencial de Objeto y Semántica Verbal en Español</t>
  </si>
  <si>
    <t>Romero Heredero, Diego</t>
  </si>
  <si>
    <t>https://ebookcentral.proquest.com/lib/iuavit/detail.action?docID=7015390</t>
  </si>
  <si>
    <t>Internationale Wissenschaftskommunikation und Nationalsozialismus : Akademischer Austausch, Konferenzen und Reisen in Geistes- und Kulturwissenschaften 1933 Bis 1945</t>
  </si>
  <si>
    <t>Albrecht, Andrea;Danneberg, Lutz;Klausnitzer, Ralf;Mateescu, Kristina</t>
  </si>
  <si>
    <t>https://ebookcentral.proquest.com/lib/iuavit/detail.action?docID=7015391</t>
  </si>
  <si>
    <t>Historische Lexikographie des Deutschen : Perspektiven Eines Forschungsfeldes Im Digitalen Zeitalter</t>
  </si>
  <si>
    <t>Diehl, Gerhard;Harm, Volker;Lüttgering, Jan</t>
  </si>
  <si>
    <t>https://ebookcentral.proquest.com/lib/iuavit/detail.action?docID=7015392</t>
  </si>
  <si>
    <t>Digital Finance in Europe: Law, Regulation, and Governance</t>
  </si>
  <si>
    <t>Avgouleas, Emilios;Marjosola, Heikki</t>
  </si>
  <si>
    <t>https://ebookcentral.proquest.com/lib/iuavit/detail.action?docID=7015394</t>
  </si>
  <si>
    <t>Digital History and Hermeneutics : Between Theory and Practice</t>
  </si>
  <si>
    <t>Fickers, Andreas;Tatarinov, Juliane</t>
  </si>
  <si>
    <t>https://ebookcentral.proquest.com/lib/iuavit/detail.action?docID=7015395</t>
  </si>
  <si>
    <t>Aber Die Zeit Fürchtet Die Pyramiden : Die Wissenschaften Vom Alten Orient und Die Zeitliche Dimension Von Kulturgeschichte</t>
  </si>
  <si>
    <t>Gertzen, Thomas L.</t>
  </si>
  <si>
    <t>https://ebookcentral.proquest.com/lib/iuavit/detail.action?docID=7015396</t>
  </si>
  <si>
    <t>The Exercise of the Spatial Imagination in Pre-Modern China : Shaping the Expanse</t>
  </si>
  <si>
    <t>Pagenstecher Olberding, Garret</t>
  </si>
  <si>
    <t>https://ebookcentral.proquest.com/lib/iuavit/detail.action?docID=7015397</t>
  </si>
  <si>
    <t>Digital Humanities and Libraries and Archives in Religious Studies : An Introduction</t>
  </si>
  <si>
    <t>Anderson, Clifford B.</t>
  </si>
  <si>
    <t>https://ebookcentral.proquest.com/lib/iuavit/detail.action?docID=7015398</t>
  </si>
  <si>
    <t>Literatur Nach der Digitalisierung : Zeitkonzepte und Gegenwartsdiagnosen</t>
  </si>
  <si>
    <t>Kreuzmair, Elias;Schumacher, Eckhard</t>
  </si>
  <si>
    <t>https://ebookcentral.proquest.com/lib/iuavit/detail.action?docID=7015399</t>
  </si>
  <si>
    <t>Der Deutsche Bauernkrieg</t>
  </si>
  <si>
    <t>https://ebookcentral.proquest.com/lib/iuavit/detail.action?docID=7015400</t>
  </si>
  <si>
    <t>Contesting Nordicness : From Scandinavianism to the Nordic Brand</t>
  </si>
  <si>
    <t>Marjanen, Jani;Strang, Johan;Hilson, Mary</t>
  </si>
  <si>
    <t>https://ebookcentral.proquest.com/lib/iuavit/detail.action?docID=7015401</t>
  </si>
  <si>
    <t>Nonlinear Evolution Equations</t>
  </si>
  <si>
    <t>Guo, Boling;Chen, Fei;Shao, Jing;Luo, Ting</t>
  </si>
  <si>
    <t>Science: Physics; Mathematics</t>
  </si>
  <si>
    <t>https://ebookcentral.proquest.com/lib/iuavit/detail.action?docID=7015402</t>
  </si>
  <si>
    <t>Fragile Familien : Ehe und Häusliche Lebenswelt in der Bürgerlichen Moderne</t>
  </si>
  <si>
    <t>Eibach, Joachim</t>
  </si>
  <si>
    <t>https://ebookcentral.proquest.com/lib/iuavit/detail.action?docID=7015403</t>
  </si>
  <si>
    <t>Atem / Breath : Gestalterische, ökologische und Soziale Dimensionen / Morphological, Ecological and Social Dimensions</t>
  </si>
  <si>
    <t>Burchert, Linn;Resetar, Iva</t>
  </si>
  <si>
    <t>https://ebookcentral.proquest.com/lib/iuavit/detail.action?docID=7015404</t>
  </si>
  <si>
    <t>Moses Dobruska and the Invention of Social Philosophy : Utopia, Judaism, and Heresy under the French Revolution</t>
  </si>
  <si>
    <t>Greco, Silvana</t>
  </si>
  <si>
    <t>https://ebookcentral.proquest.com/lib/iuavit/detail.action?docID=7015405</t>
  </si>
  <si>
    <t>Globale Herausforderungen Gemeinsam Meistern - Gestern, Heute, Morgen : Präsidenten Von ICOM Deutschland Im Zeitzeugen-Interview</t>
  </si>
  <si>
    <t>Bechtel, Tanja</t>
  </si>
  <si>
    <t>https://ebookcentral.proquest.com/lib/iuavit/detail.action?docID=7015406</t>
  </si>
  <si>
    <t>El Queísmo en la Historia : Variación y Cambio Lingüístico en el Régimen Preposicional Del Español (siglos XVI-XXI)</t>
  </si>
  <si>
    <t>Blas Arroyo, José Luis;Velando Casanova, Mónica</t>
  </si>
  <si>
    <t>https://ebookcentral.proquest.com/lib/iuavit/detail.action?docID=7015407</t>
  </si>
  <si>
    <t>,,Fiktion und ,,Wirklichkeit in Japanischen Literaturtheorien der Jahre 1850 Bis 1890</t>
  </si>
  <si>
    <t>Woldering, Guido</t>
  </si>
  <si>
    <t>History; Literature; Social Science</t>
  </si>
  <si>
    <t>https://ebookcentral.proquest.com/lib/iuavit/detail.action?docID=7015408</t>
  </si>
  <si>
    <t>Integrated Chemical Processes in Liquid Multiphase Systems : From Chemical Reaction to Process Design and Operation</t>
  </si>
  <si>
    <t>Kraume, Matthias;Enders, Sabine;Drews, Anja;Schomäcker, Reinhard;Engell, Sebastian;Sundmacher, Kai</t>
  </si>
  <si>
    <t>https://ebookcentral.proquest.com/lib/iuavit/detail.action?docID=7015409</t>
  </si>
  <si>
    <t>The Medieval Archive of Antisemitism in Nineteenth-Century Sweden</t>
  </si>
  <si>
    <t>Heß, Cordelia</t>
  </si>
  <si>
    <t>https://ebookcentral.proquest.com/lib/iuavit/detail.action?docID=7015410</t>
  </si>
  <si>
    <t>Rhapsodic Objects : Art, Agency, and Materiality (1700-2000)</t>
  </si>
  <si>
    <t>Biro, Yaelle;Etienne, Noemie</t>
  </si>
  <si>
    <t>https://ebookcentral.proquest.com/lib/iuavit/detail.action?docID=7015411</t>
  </si>
  <si>
    <t>,Rabenschlacht'</t>
  </si>
  <si>
    <t>Klarer, Mario</t>
  </si>
  <si>
    <t>https://ebookcentral.proquest.com/lib/iuavit/detail.action?docID=7015412</t>
  </si>
  <si>
    <t>Kleinepik. Wolfram Von Eschenbach: ,Titurel'. ,Brief des Priesterkönigs Johannes'</t>
  </si>
  <si>
    <t>https://ebookcentral.proquest.com/lib/iuavit/detail.action?docID=7015413</t>
  </si>
  <si>
    <t>Changing Roles of NGOs in the Creation, Storage, and Dissemination of Information in Developing Countries</t>
  </si>
  <si>
    <t>Witt, Steve W.</t>
  </si>
  <si>
    <t>Z666.5.C43 2006</t>
  </si>
  <si>
    <t>https://ebookcentral.proquest.com/lib/iuavit/detail.action?docID=7015414</t>
  </si>
  <si>
    <t>Kant and Artificial Intelligence</t>
  </si>
  <si>
    <t>Kim, Hyeongjoo;Schönecker, Dieter</t>
  </si>
  <si>
    <t>https://ebookcentral.proquest.com/lib/iuavit/detail.action?docID=7015415</t>
  </si>
  <si>
    <t>Precarity in European Film : Depictions and Discourses</t>
  </si>
  <si>
    <t>Cuter, Elisa;Kirsten, Guido;Prenzel, Hanna</t>
  </si>
  <si>
    <t>https://ebookcentral.proquest.com/lib/iuavit/detail.action?docID=7015416</t>
  </si>
  <si>
    <t>Materiality in Roman Art and Architecture : Aesthetics, Semantics and Function</t>
  </si>
  <si>
    <t>Haug, Annette;Hielscher, Adrian;Lauritsen, M. Taylor</t>
  </si>
  <si>
    <t>https://ebookcentral.proquest.com/lib/iuavit/detail.action?docID=7015417</t>
  </si>
  <si>
    <t>Grundlinien Zum Systeme der Aesthetik (1824) und Andere Kunstphilosophische Schriften</t>
  </si>
  <si>
    <t>Heiberg, Johan Ludvig;Müller-Wille, Klaus</t>
  </si>
  <si>
    <t>https://ebookcentral.proquest.com/lib/iuavit/detail.action?docID=7015418</t>
  </si>
  <si>
    <t>Öffentliche Geheimnisse : Skandale, Politik und Medien in Deutschland und Großbritannien 1880-1914</t>
  </si>
  <si>
    <t>Bösch, Frank;German Historical Institute London, German Historical</t>
  </si>
  <si>
    <t>DD222 .P67 2009</t>
  </si>
  <si>
    <t>https://ebookcentral.proquest.com/lib/iuavit/detail.action?docID=7015419</t>
  </si>
  <si>
    <t>Zitate der &gt;Aeneis&lt; in Den Briefen des Hieronymus : Eine Digitale Intertextualitätsanalyse Zur Untersuchung Kultureller Transformationsprozesse</t>
  </si>
  <si>
    <t>Revellio, Marie</t>
  </si>
  <si>
    <t>https://ebookcentral.proquest.com/lib/iuavit/detail.action?docID=7015420</t>
  </si>
  <si>
    <t>Estereotipos Femeninos Desde la Antigüedad Clásica Hasta el Siglo XVI</t>
  </si>
  <si>
    <t>González Doreste, Dulce María;del Mar Plaza Picón, Francisca</t>
  </si>
  <si>
    <t>https://ebookcentral.proquest.com/lib/iuavit/detail.action?docID=7015421</t>
  </si>
  <si>
    <t>Der Weg der Welt</t>
  </si>
  <si>
    <t>Bingen, Hildegard von;Lascar, Maria-Louise</t>
  </si>
  <si>
    <t>https://ebookcentral.proquest.com/lib/iuavit/detail.action?docID=7015422</t>
  </si>
  <si>
    <t>Der ein- und Mehrphasige Wechselstrom : Einführung in das Studium der Transformatoren und Wechselstrommaschinen</t>
  </si>
  <si>
    <t>Wotruba, R.</t>
  </si>
  <si>
    <t>https://ebookcentral.proquest.com/lib/iuavit/detail.action?docID=7015423</t>
  </si>
  <si>
    <t>Social Media and Social Order</t>
  </si>
  <si>
    <t>Herbert, David;Fisher-Høyrem, Stefan</t>
  </si>
  <si>
    <t>https://ebookcentral.proquest.com/lib/iuavit/detail.action?docID=7015424</t>
  </si>
  <si>
    <t>Conflicts in Interreligious Education : Exploring Theory and Practice</t>
  </si>
  <si>
    <t>Kraml, Martina;Sejdini, Zekirija;Bauer, Nicole;Kolb, Jonas</t>
  </si>
  <si>
    <t>https://ebookcentral.proquest.com/lib/iuavit/detail.action?docID=7015425</t>
  </si>
  <si>
    <t>Whiteface : Improv Comedy and Anti-Blackness</t>
  </si>
  <si>
    <t>Büch, Michel</t>
  </si>
  <si>
    <t>https://ebookcentral.proquest.com/lib/iuavit/detail.action?docID=7015426</t>
  </si>
  <si>
    <t>Genus - Sexus - Gender</t>
  </si>
  <si>
    <t>Diewald, Gabriele;Nübling, Damaris</t>
  </si>
  <si>
    <t>https://ebookcentral.proquest.com/lib/iuavit/detail.action?docID=7015427</t>
  </si>
  <si>
    <t>In Search of the Culprit : Aspects of Medieval Authorship</t>
  </si>
  <si>
    <t>Rösli, Lukas;Gropper, Stefanie</t>
  </si>
  <si>
    <t>https://ebookcentral.proquest.com/lib/iuavit/detail.action?docID=7015428</t>
  </si>
  <si>
    <t>Emotions Across Cultures : Ancient China and Greece</t>
  </si>
  <si>
    <t>Konstan, David</t>
  </si>
  <si>
    <t>https://ebookcentral.proquest.com/lib/iuavit/detail.action?docID=7015429</t>
  </si>
  <si>
    <t>The Walking Dead at Saqqara : Strategies of Social and Religious Interaction in Practice</t>
  </si>
  <si>
    <t>Weiss, Lara</t>
  </si>
  <si>
    <t>https://ebookcentral.proquest.com/lib/iuavit/detail.action?docID=7015430</t>
  </si>
  <si>
    <t>Raumkonstruktionen | Spatial Constructions : Digital Humanities und Die 'Messbarkeit' des NS-Regimes | the Digital Humanities and the 'Measurability' of the Nazi Regime</t>
  </si>
  <si>
    <t>Němec, Richard</t>
  </si>
  <si>
    <t>https://ebookcentral.proquest.com/lib/iuavit/detail.action?docID=7015431</t>
  </si>
  <si>
    <t>Eine Andere Geschichte der Spanischen Literatur : Von Cervantes Bis Zur Gegenwart</t>
  </si>
  <si>
    <t>Ingenschay, Dieter</t>
  </si>
  <si>
    <t>https://ebookcentral.proquest.com/lib/iuavit/detail.action?docID=7015432</t>
  </si>
  <si>
    <t>Partitive Determiners, Partitive Pronouns and Partitive Case</t>
  </si>
  <si>
    <t>Sleeman, Petra;Giusti, Giuliana</t>
  </si>
  <si>
    <t>https://ebookcentral.proquest.com/lib/iuavit/detail.action?docID=7015433</t>
  </si>
  <si>
    <t>Geburt Leben Sterben Tod : Potsdamer Vorlesungen über das Lebenswissen in Den Romanischen Literaturen der Welt</t>
  </si>
  <si>
    <t>https://ebookcentral.proquest.com/lib/iuavit/detail.action?docID=7015434</t>
  </si>
  <si>
    <t>,Nibelungenlied'</t>
  </si>
  <si>
    <t>https://ebookcentral.proquest.com/lib/iuavit/detail.action?docID=7015435</t>
  </si>
  <si>
    <t>,Nibelungenklage'</t>
  </si>
  <si>
    <t>https://ebookcentral.proquest.com/lib/iuavit/detail.action?docID=7015436</t>
  </si>
  <si>
    <t>Diversität in Bibliotheken : Theorien, Strategien und Praxisbeispiele</t>
  </si>
  <si>
    <t>Hauck, Julia;Linneberg, Sylvia</t>
  </si>
  <si>
    <t>https://ebookcentral.proquest.com/lib/iuavit/detail.action?docID=7015437</t>
  </si>
  <si>
    <t>Das Lukanische Doppelwerk : Zur Literarischen Basis Frühchristlicher Geschichtsdeutung</t>
  </si>
  <si>
    <t>Backhaus, Knut</t>
  </si>
  <si>
    <t>https://ebookcentral.proquest.com/lib/iuavit/detail.action?docID=7015438</t>
  </si>
  <si>
    <t>Die Glasmalereien Vom Mittelalter Bis 1930 Im Kanton Thurgau : Corpus Vitrearum Schweiz, Reihe Neuzeit, Band 8</t>
  </si>
  <si>
    <t>Keller, Sarah;Kaufmann, Katrin;Vitrocentre Romont, Vitrocentre</t>
  </si>
  <si>
    <t>https://ebookcentral.proquest.com/lib/iuavit/detail.action?docID=7015439</t>
  </si>
  <si>
    <t>Medieval Multilingual Manuscripts : Case Studies from Ireland to Japan</t>
  </si>
  <si>
    <t>Clarke, Michael;Mhaonaigh, Máire Ní</t>
  </si>
  <si>
    <t>https://ebookcentral.proquest.com/lib/iuavit/detail.action?docID=7015440</t>
  </si>
  <si>
    <t>Hartmann Von Aue: ,Erec'. ,der Mantel'</t>
  </si>
  <si>
    <t>https://ebookcentral.proquest.com/lib/iuavit/detail.action?docID=7015441</t>
  </si>
  <si>
    <t>Die DDR-Literatur und Die Wissenschaften</t>
  </si>
  <si>
    <t>Gencarelli, Angela</t>
  </si>
  <si>
    <t>https://ebookcentral.proquest.com/lib/iuavit/detail.action?docID=7015442</t>
  </si>
  <si>
    <t>Hartmann Von Aue: ,Iwein'</t>
  </si>
  <si>
    <t>https://ebookcentral.proquest.com/lib/iuavit/detail.action?docID=7015443</t>
  </si>
  <si>
    <t>Red Glow : Yugoslav Partisan Photography and Social Movement, 1941-1945</t>
  </si>
  <si>
    <t>https://ebookcentral.proquest.com/lib/iuavit/detail.action?docID=7015444</t>
  </si>
  <si>
    <t>Workplace Spirituality : Making a Difference</t>
  </si>
  <si>
    <t>Altman, Yochanan;Neal, Judi;Mayrhofer, Wolfgang</t>
  </si>
  <si>
    <t>https://ebookcentral.proquest.com/lib/iuavit/detail.action?docID=7015445</t>
  </si>
  <si>
    <t>Der Engel in der Moderne : Eine Figur Zwischen Exilgegenwart und Zukunftsvision</t>
  </si>
  <si>
    <t>Zschunke, Lena</t>
  </si>
  <si>
    <t>https://ebookcentral.proquest.com/lib/iuavit/detail.action?docID=7015447</t>
  </si>
  <si>
    <t>The Politics of Historical Memory and Commemoration in Africa</t>
  </si>
  <si>
    <t>Mark-Thiesen, Cassandra;Mihatsch, Moritz;Sikes, Michelle</t>
  </si>
  <si>
    <t>https://ebookcentral.proquest.com/lib/iuavit/detail.action?docID=7015448</t>
  </si>
  <si>
    <t>Linguistik und Medizin : Sprachwissenschaftliche Zugänge und Interdisziplinäre Perspektiven</t>
  </si>
  <si>
    <t>Iakushevich, Marina;Ilg, Yvonne;Schnedermann, Theresa</t>
  </si>
  <si>
    <t>Language/Linguistics; Medicine</t>
  </si>
  <si>
    <t>https://ebookcentral.proquest.com/lib/iuavit/detail.action?docID=7015449</t>
  </si>
  <si>
    <t>,Biterolf und Dietleib'</t>
  </si>
  <si>
    <t>https://ebookcentral.proquest.com/lib/iuavit/detail.action?docID=7015450</t>
  </si>
  <si>
    <t>Kardinal Cesare Baronio und das Kurienzeremoniell des Posttridentinischen Papsttums : Ein Beitrag Zur Geschichte der Römischen Kurie Während der Zweiten Hälfte des Cinquecento</t>
  </si>
  <si>
    <t>Malesevic, Filip</t>
  </si>
  <si>
    <t>https://ebookcentral.proquest.com/lib/iuavit/detail.action?docID=7015451</t>
  </si>
  <si>
    <t>Die Internationale Stadt Tanger : Infrastrukturen des Geteilten Kolonialismus, 1840-1956</t>
  </si>
  <si>
    <t>Hettstedt, Daniela</t>
  </si>
  <si>
    <t>https://ebookcentral.proquest.com/lib/iuavit/detail.action?docID=7015453</t>
  </si>
  <si>
    <t>A Basic Theory of Everything : A Fundamental Theoretical Framework for Science and Philosophy</t>
  </si>
  <si>
    <t>Søvik, Atle Ottesen</t>
  </si>
  <si>
    <t>https://ebookcentral.proquest.com/lib/iuavit/detail.action?docID=7015454</t>
  </si>
  <si>
    <t>Play among Books : A Symposium on Architecture and Information Spelt in Atom-Letters</t>
  </si>
  <si>
    <t>Roman, Miro;_ch3n81, Alice;Hovestadt, Ludger;Bühlmann, Vera</t>
  </si>
  <si>
    <t>https://ebookcentral.proquest.com/lib/iuavit/detail.action?docID=7015456</t>
  </si>
  <si>
    <t>Gleichzeitigkeit in der Interaktion : Strukturelle (in)Kompatibilität Bei Multiaktivitäten in Theaterproben</t>
  </si>
  <si>
    <t>Krug, Maximilian</t>
  </si>
  <si>
    <t>https://ebookcentral.proquest.com/lib/iuavit/detail.action?docID=7015457</t>
  </si>
  <si>
    <t>Youth and Memory in Europe : Defining the Past, Shaping the Future</t>
  </si>
  <si>
    <t>Krawatzek, Félix;Friess, Nina</t>
  </si>
  <si>
    <t>https://ebookcentral.proquest.com/lib/iuavit/detail.action?docID=7015458</t>
  </si>
  <si>
    <t>Continuing Professional Development - Preparing for New Roles in Libraries: a Voyage of Discovery : Sixth World Conference on Continuing Professional Development and Workplace Learning for the Library and Information Professions</t>
  </si>
  <si>
    <t>Genoni, Paul;Walton, Graham</t>
  </si>
  <si>
    <t>Z668.5.W67 2005</t>
  </si>
  <si>
    <t>https://ebookcentral.proquest.com/lib/iuavit/detail.action?docID=7015459</t>
  </si>
  <si>
    <t>Bild und Text Auf Römischen Mosaiken : Intermediale Kommunikationsstrategien Im Kontext der Wohnkultur des 3. -5. Jahrhunderts</t>
  </si>
  <si>
    <t>Schmieder, Claudia</t>
  </si>
  <si>
    <t>Architecture; Literature</t>
  </si>
  <si>
    <t>https://ebookcentral.proquest.com/lib/iuavit/detail.action?docID=7015460</t>
  </si>
  <si>
    <t>Stocks for All: People's Capitalism in the Twenty-First Century</t>
  </si>
  <si>
    <t>Mäntysaari, Petri</t>
  </si>
  <si>
    <t>https://ebookcentral.proquest.com/lib/iuavit/detail.action?docID=7015461</t>
  </si>
  <si>
    <t>Mechanische Grundlagen des Flugzeugbaues, Teil 2</t>
  </si>
  <si>
    <t>Baumann, A.</t>
  </si>
  <si>
    <t>https://ebookcentral.proquest.com/lib/iuavit/detail.action?docID=7015462</t>
  </si>
  <si>
    <t>Iridescent Kuwait : Petro-Modernity and Urban Visual Culture since the Mid-Twentieth Century</t>
  </si>
  <si>
    <t>Hindelang, Laura</t>
  </si>
  <si>
    <t>https://ebookcentral.proquest.com/lib/iuavit/detail.action?docID=7015463</t>
  </si>
  <si>
    <t>Konstruktionssemantik : Frames in Gebrauchsbasierter Konstruktionsgrammatik und Konstruktikographie</t>
  </si>
  <si>
    <t>Willich, Alexander</t>
  </si>
  <si>
    <t>https://ebookcentral.proquest.com/lib/iuavit/detail.action?docID=7015464</t>
  </si>
  <si>
    <t>Nach der Kulturgeschichte : Perspektiven Einer Neuen Ideen- und Sozialgeschichte der Deutschen Literatur</t>
  </si>
  <si>
    <t>Benz, Maximilian;Stiening, Gideon</t>
  </si>
  <si>
    <t>https://ebookcentral.proquest.com/lib/iuavit/detail.action?docID=7015465</t>
  </si>
  <si>
    <t>Time for the Ancients : Measurement, Theory, Experience</t>
  </si>
  <si>
    <t>Singer, P. N.</t>
  </si>
  <si>
    <t>https://ebookcentral.proquest.com/lib/iuavit/detail.action?docID=7015466</t>
  </si>
  <si>
    <t>,Ortnit'. ,Wolfdietrich A'</t>
  </si>
  <si>
    <t>https://ebookcentral.proquest.com/lib/iuavit/detail.action?docID=7015467</t>
  </si>
  <si>
    <t>Conceptions of Time in Greek and Roman Antiquity</t>
  </si>
  <si>
    <t>Faure, Richard;Valli, Simon-Pierre;Zucker, Arnaud</t>
  </si>
  <si>
    <t>https://ebookcentral.proquest.com/lib/iuavit/detail.action?docID=7015468</t>
  </si>
  <si>
    <t>Geschichte der Heimat : Zur Genese Ihrer Semantik in Literatur, Religion, Recht und Wissenschaft</t>
  </si>
  <si>
    <t>Oesterhelt, Anja</t>
  </si>
  <si>
    <t>https://ebookcentral.proquest.com/lib/iuavit/detail.action?docID=7015469</t>
  </si>
  <si>
    <t>Kältebilder : Ästhetik und Erkenntnis Am Gefrierpunkt</t>
  </si>
  <si>
    <t>Bruhn, Matthias</t>
  </si>
  <si>
    <t>Fine Arts; Science: General</t>
  </si>
  <si>
    <t>https://ebookcentral.proquest.com/lib/iuavit/detail.action?docID=7015471</t>
  </si>
  <si>
    <t>Karl Barth's Epistle to the Romans : Retrospect and Prospect</t>
  </si>
  <si>
    <t>Chalamet, Christophe;Dettwiler, Andreas;Stewart-Kroeker, Sarah</t>
  </si>
  <si>
    <t>https://ebookcentral.proquest.com/lib/iuavit/detail.action?docID=7015472</t>
  </si>
  <si>
    <t>Kontrafaktik der Gegenwart : Politisches Schreiben Als Realitätsvariation Bei Christian Kracht, Kathrin Röggla, Juli Zeh und Leif Randt</t>
  </si>
  <si>
    <t>Navratil, Michael</t>
  </si>
  <si>
    <t>https://ebookcentral.proquest.com/lib/iuavit/detail.action?docID=7015473</t>
  </si>
  <si>
    <t>,Dietrichs Flucht'</t>
  </si>
  <si>
    <t>https://ebookcentral.proquest.com/lib/iuavit/detail.action?docID=7015474</t>
  </si>
  <si>
    <t>Höfische Texte</t>
  </si>
  <si>
    <t>https://ebookcentral.proquest.com/lib/iuavit/detail.action?docID=7015475</t>
  </si>
  <si>
    <t>Handbook of Ancient Afro-Eurasian Economies : Volume 2: Local, Regional, and Imperial Economies</t>
  </si>
  <si>
    <t>von Reden, Sitta;Fabian, Lara;Weaverdyck, Eli J. S.</t>
  </si>
  <si>
    <t>https://ebookcentral.proquest.com/lib/iuavit/detail.action?docID=7015476</t>
  </si>
  <si>
    <t>La Tradizione Manoscritta Dell' Ars Dictaminis Nell'Italia Medievale : Mise en Page e Mise en Texte</t>
  </si>
  <si>
    <t>Bischetti, Sara</t>
  </si>
  <si>
    <t>https://ebookcentral.proquest.com/lib/iuavit/detail.action?docID=7015477</t>
  </si>
  <si>
    <t>Rethinking Orality II : The Mechanisms of the Oral Communication System in the Case of the Archaic Epos</t>
  </si>
  <si>
    <t>https://ebookcentral.proquest.com/lib/iuavit/detail.action?docID=7015478</t>
  </si>
  <si>
    <t>Reading History in the Roman Empire</t>
  </si>
  <si>
    <t>Baumann, Mario;Liotsakis, Vasileios</t>
  </si>
  <si>
    <t>https://ebookcentral.proquest.com/lib/iuavit/detail.action?docID=7015479</t>
  </si>
  <si>
    <t>Forensische Verfahren in Den Zeitgenössischen Künsten : Forensic Architecture und Andere Fallanalysen</t>
  </si>
  <si>
    <t>Stuckey, Lisa</t>
  </si>
  <si>
    <t>https://ebookcentral.proquest.com/lib/iuavit/detail.action?docID=7015482</t>
  </si>
  <si>
    <t>,Kudrun'</t>
  </si>
  <si>
    <t>https://ebookcentral.proquest.com/lib/iuavit/detail.action?docID=7015483</t>
  </si>
  <si>
    <t>Zionism and Cosmopolitanism : Franz Oppenheimer and the Dream of a Jewish Future in Germany and Palestine</t>
  </si>
  <si>
    <t>Peretz, Dekel</t>
  </si>
  <si>
    <t>https://ebookcentral.proquest.com/lib/iuavit/detail.action?docID=7015484</t>
  </si>
  <si>
    <t>Mapping Narrations - Narrating Maps : Concepts of the World in the Middle Ages and the Early Modern Period</t>
  </si>
  <si>
    <t>Medieval Institute Publications</t>
  </si>
  <si>
    <t>Baumgärtner, Ingrid;Gneckow, Daniel;Hollenbach, Anna;Landgrebe, Phillip</t>
  </si>
  <si>
    <t>https://ebookcentral.proquest.com/lib/iuavit/detail.action?docID=7015485</t>
  </si>
  <si>
    <t>The World's First Full Press Freedom : The Radical Experiment of Denmark-Norway 1770-1773</t>
  </si>
  <si>
    <t>Langen, Ulrik;Stjernfelt, Frederik</t>
  </si>
  <si>
    <t>https://ebookcentral.proquest.com/lib/iuavit/detail.action?docID=7015486</t>
  </si>
  <si>
    <t>Kinder und Jugendliche in der COVID-19-Pandemie : Perspektiven Aus Praxis und Wissenschaft</t>
  </si>
  <si>
    <t>Oommen-Halbach, Anne;Weyers, Simone;Griemmert, Maria</t>
  </si>
  <si>
    <t>https://ebookcentral.proquest.com/lib/iuavit/detail.action?docID=7015487</t>
  </si>
  <si>
    <t>Vom Germanenerbe Zum Urkommunismus : Urgeschichtsbilder in Museen der SBZ und DDR</t>
  </si>
  <si>
    <t>Lindemann, Arne</t>
  </si>
  <si>
    <t>https://ebookcentral.proquest.com/lib/iuavit/detail.action?docID=7015488</t>
  </si>
  <si>
    <t>Rethinking Islam in Europe : Contemporary Approaches in Islamic Religious Education and Theology</t>
  </si>
  <si>
    <t>Sejdini, Zekirija</t>
  </si>
  <si>
    <t>297.071/14</t>
  </si>
  <si>
    <t>https://ebookcentral.proquest.com/lib/iuavit/detail.action?docID=7015489</t>
  </si>
  <si>
    <t>Diskurse - Digital : Theorien, Methoden, Anwendungen</t>
  </si>
  <si>
    <t>Gredel, Eva</t>
  </si>
  <si>
    <t>https://ebookcentral.proquest.com/lib/iuavit/detail.action?docID=7015490</t>
  </si>
  <si>
    <t>Envisioning the Future of Learning for Creativity, Innovation and Entrepreneurship</t>
  </si>
  <si>
    <t>Papageorgiou, Kyriaki;Kokshagina, Olga</t>
  </si>
  <si>
    <t>https://ebookcentral.proquest.com/lib/iuavit/detail.action?docID=7015491</t>
  </si>
  <si>
    <t>Perfektunperfekt : Elaboration und Imperfektion in der Rhetorik des Designs</t>
  </si>
  <si>
    <t>Schneller, Annina</t>
  </si>
  <si>
    <t>Fine Arts; Language/Linguistics</t>
  </si>
  <si>
    <t>https://ebookcentral.proquest.com/lib/iuavit/detail.action?docID=7015492</t>
  </si>
  <si>
    <t>Die Papyri Herkulaneums Im Digitalen Zeitalter : Neue Texte Durch Neue Techniken - eine Kurzeinführung</t>
  </si>
  <si>
    <t>Fleischer, Kilian</t>
  </si>
  <si>
    <t>https://ebookcentral.proquest.com/lib/iuavit/detail.action?docID=7015493</t>
  </si>
  <si>
    <t>Die Vergangenheitstempora Im Alemannischen Deutschlands : Eine Korpusbasierte Quantitative und Qualitative Untersuchung</t>
  </si>
  <si>
    <t>Leonhard, Jens</t>
  </si>
  <si>
    <t>https://ebookcentral.proquest.com/lib/iuavit/detail.action?docID=7015494</t>
  </si>
  <si>
    <t>Anti-Klages : Oder Von der Würde des Menschen</t>
  </si>
  <si>
    <t>https://ebookcentral.proquest.com/lib/iuavit/detail.action?docID=7015495</t>
  </si>
  <si>
    <t>1731-1733</t>
  </si>
  <si>
    <t>https://ebookcentral.proquest.com/lib/iuavit/detail.action?docID=7015496</t>
  </si>
  <si>
    <t>Action-Related Representations : An Action-Based Approach to Grounded Cognition</t>
  </si>
  <si>
    <t>Seuchter, Tim</t>
  </si>
  <si>
    <t>https://ebookcentral.proquest.com/lib/iuavit/detail.action?docID=7015497</t>
  </si>
  <si>
    <t>Football and Nation Building in Colombia (2010-2018) : The Only Thing That Unites Us</t>
  </si>
  <si>
    <t>Watson, Peter J.</t>
  </si>
  <si>
    <t>Sport &amp;amp; Recreation; Political Science</t>
  </si>
  <si>
    <t>https://ebookcentral.proquest.com/lib/iuavit/detail.action?docID=7015501</t>
  </si>
  <si>
    <t>Agile Processes in Software Engineering and Extreme Programming : 23rd International Conference on Agile Software Development, XP 2022, Copenhagen, Denmark, June 13-17, 2022, Proceedings</t>
  </si>
  <si>
    <t>Stray, Viktoria;Stol, Klaas-Jan;Paasivaara, Maria;Kruchten, Philippe</t>
  </si>
  <si>
    <t>https://ebookcentral.proquest.com/lib/iuavit/detail.action?docID=7015822</t>
  </si>
  <si>
    <t>Entrepreneurial Responses to Chronic Adversity : The Bright, the Dark, and the in Between</t>
  </si>
  <si>
    <t>Shepherd, Dean A.;Parida, Vinit;Wincent, Joakim</t>
  </si>
  <si>
    <t>https://ebookcentral.proquest.com/lib/iuavit/detail.action?docID=7016579</t>
  </si>
  <si>
    <t>International Actors and the Formation of Laws</t>
  </si>
  <si>
    <t>Karjalainen, Katja;Tornberg, Iina;Pursiainen, Aleksi</t>
  </si>
  <si>
    <t>https://ebookcentral.proquest.com/lib/iuavit/detail.action?docID=7017512</t>
  </si>
  <si>
    <t>Encounters and Practices of Petty Trade in Northern Europe, 1820-1960 : Forgotten Livelihoods</t>
  </si>
  <si>
    <t>Ahlbeck, Jutta;Östman, Ann-Catrin;Stark, Eija</t>
  </si>
  <si>
    <t>https://ebookcentral.proquest.com/lib/iuavit/detail.action?docID=7018096</t>
  </si>
  <si>
    <t>Russia-China Relations : Emerging Alliance or Eternal Rivals?</t>
  </si>
  <si>
    <t>Kirchberger, Sarah;Sinjen, Svenja;Wörmer, Nils</t>
  </si>
  <si>
    <t>https://ebookcentral.proquest.com/lib/iuavit/detail.action?docID=7018107</t>
  </si>
  <si>
    <t>Framing Global Mathematics : The International Mathematical Union Between Theorems and Politics</t>
  </si>
  <si>
    <t>Schappacher, Norbert</t>
  </si>
  <si>
    <t>QA21-27</t>
  </si>
  <si>
    <t>https://ebookcentral.proquest.com/lib/iuavit/detail.action?docID=7018111</t>
  </si>
  <si>
    <t>Evading the Patronage Trap : Interest Representation in Mexico</t>
  </si>
  <si>
    <t>Palmer-Rubin, Brian</t>
  </si>
  <si>
    <t>https://ebookcentral.proquest.com/lib/iuavit/detail.action?docID=7018191</t>
  </si>
  <si>
    <t>Digital Transformation in Norwegian Enterprises</t>
  </si>
  <si>
    <t>Mikalef, Patrick;Parmiggiani, Elena</t>
  </si>
  <si>
    <t>https://ebookcentral.proquest.com/lib/iuavit/detail.action?docID=7018666</t>
  </si>
  <si>
    <t>Public Systems Modeling : Methods for Identifying and Evaluating Alternative Plans and Policies</t>
  </si>
  <si>
    <t>Loucks, Daniel P.</t>
  </si>
  <si>
    <t>https://ebookcentral.proquest.com/lib/iuavit/detail.action?docID=7018786</t>
  </si>
  <si>
    <t>Deep Neural Networks and Data for Automated Driving : Robustness, Uncertainty Quantification, and Insights Towards Safety</t>
  </si>
  <si>
    <t>Fingscheidt, Tim;Gottschalk, Hanno;Houben, Sebastian</t>
  </si>
  <si>
    <t>https://ebookcentral.proquest.com/lib/iuavit/detail.action?docID=7018938</t>
  </si>
  <si>
    <t>Smittestopp  a Case Study on Digital Contact Tracing</t>
  </si>
  <si>
    <t>Elmokashfi, Ahmed;Lysne, Olav;Naumova, Valeriya</t>
  </si>
  <si>
    <t>https://ebookcentral.proquest.com/lib/iuavit/detail.action?docID=7018967</t>
  </si>
  <si>
    <t>Grundrechte : Klausur- und Examenswissen</t>
  </si>
  <si>
    <t>Hahn, Lisa;Petras, Maximilian;Valentiner, Dana-Sophia;Wienfort, Nora</t>
  </si>
  <si>
    <t>https://ebookcentral.proquest.com/lib/iuavit/detail.action?docID=7019590</t>
  </si>
  <si>
    <t>Towards the Perfect Weather Warning : Bridging Disciplinary Gaps Through Partnership and Communication</t>
  </si>
  <si>
    <t>Golding, Brian</t>
  </si>
  <si>
    <t>https://ebookcentral.proquest.com/lib/iuavit/detail.action?docID=7020108</t>
  </si>
  <si>
    <t>Responsible Procurement : Leading the Way to a Sustainable Tomorrow</t>
  </si>
  <si>
    <t>Aichbauer, Stefan;Buchhauser, Martina;Erben, Agnes;Steinert, Sven;Tietze, Detlef;Wiking, Emilia</t>
  </si>
  <si>
    <t>HD39.5</t>
  </si>
  <si>
    <t>https://ebookcentral.proquest.com/lib/iuavit/detail.action?docID=7020126</t>
  </si>
  <si>
    <t>Improving Oncology Worldwide : Education, Clinical Research and Global Cancer Care</t>
  </si>
  <si>
    <t>Schmidt-Straßburger, Uta</t>
  </si>
  <si>
    <t>https://ebookcentral.proquest.com/lib/iuavit/detail.action?docID=7020131</t>
  </si>
  <si>
    <t>Participative Urban Health and Healthy Aging in the Age of AI : 19th International Conference, ICOST 2022, Paris, France, June 27-30, 2022, Proceedings</t>
  </si>
  <si>
    <t>Aloulou, Hamdi;Abdulrazak, Bessam;de Marassé-Enouf, Antoine;Mokhtari, Mounir</t>
  </si>
  <si>
    <t>https://ebookcentral.proquest.com/lib/iuavit/detail.action?docID=7020803</t>
  </si>
  <si>
    <t>Social Networks and Health Inequalities : A New Perspective for Research</t>
  </si>
  <si>
    <t>Klärner, Andreas;Gamper, Markus;Keim-Klärner, Sylvia;Moor, Irene;von der Lippe, Holger;Vonneilich, Nico</t>
  </si>
  <si>
    <t>https://ebookcentral.proquest.com/lib/iuavit/detail.action?docID=7020823</t>
  </si>
  <si>
    <t>Crime and Safety in the Rural : Lessons from Research</t>
  </si>
  <si>
    <t>Ceccato, Vania;Abraham, Jonatan</t>
  </si>
  <si>
    <t>https://ebookcentral.proquest.com/lib/iuavit/detail.action?docID=7021194</t>
  </si>
  <si>
    <t>The Road to General Intelligence</t>
  </si>
  <si>
    <t>Swan, Jerry;Nivel, Eric;Kant, Neel;Hedges, Jules;Atkinson, Timothy;Steunebrink, Bas</t>
  </si>
  <si>
    <t>https://ebookcentral.proquest.com/lib/iuavit/detail.action?docID=7021221</t>
  </si>
  <si>
    <t>Interdisciplinary Explorations of Postmortem Interaction : Dead Bodies, Funerary Objects, and Burial Spaces Through Texts and Time</t>
  </si>
  <si>
    <t>Weiss-Krejci, Estella;Becker, Sebastian;Schwyzer, Philip</t>
  </si>
  <si>
    <t>https://ebookcentral.proquest.com/lib/iuavit/detail.action?docID=7021566</t>
  </si>
  <si>
    <t>Longer-Term Psychiatric Inpatient Care for Adolescents : A Multidisciplinary Treatment Approach</t>
  </si>
  <si>
    <t>Hazell, Philip</t>
  </si>
  <si>
    <t>https://ebookcentral.proquest.com/lib/iuavit/detail.action?docID=7021573</t>
  </si>
  <si>
    <t>We Were All in Adam : The Unity of Mankind in Adam in the Teaching of the Church Fathers</t>
  </si>
  <si>
    <t>Przyszychowska, Marta</t>
  </si>
  <si>
    <t>https://ebookcentral.proquest.com/lib/iuavit/detail.action?docID=7021723</t>
  </si>
  <si>
    <t>City, Climate, and Architecture : A Theory of Collective Practice</t>
  </si>
  <si>
    <t>Roesler, Sascha</t>
  </si>
  <si>
    <t>https://ebookcentral.proquest.com/lib/iuavit/detail.action?docID=7021980</t>
  </si>
  <si>
    <t>Writing Systems and Their Use : An Overview of Grapholinguistics</t>
  </si>
  <si>
    <t>Meletis, Dimitrios;Dürscheid, Christa</t>
  </si>
  <si>
    <t>https://ebookcentral.proquest.com/lib/iuavit/detail.action?docID=7021983</t>
  </si>
  <si>
    <t>Time and Soul : From Aristotle to St. Augustine</t>
  </si>
  <si>
    <t>Zachhuber, Johannes</t>
  </si>
  <si>
    <t>History; Religion; Philosophy</t>
  </si>
  <si>
    <t>https://ebookcentral.proquest.com/lib/iuavit/detail.action?docID=7021989</t>
  </si>
  <si>
    <t>Possession and Dispossession : Performing Jewish Ethnography in Jerusalem</t>
  </si>
  <si>
    <t>Mauas, Lea;MacQueen, Michelle;Rotman, Diego</t>
  </si>
  <si>
    <t>https://ebookcentral.proquest.com/lib/iuavit/detail.action?docID=7021993</t>
  </si>
  <si>
    <t>Coping with Urban Climates : Comparative Perspectives on Architecture and Thermal Governance</t>
  </si>
  <si>
    <t>Roesler, Sascha;Kobi, Madlen;Stieger, Lorenzo</t>
  </si>
  <si>
    <t>https://ebookcentral.proquest.com/lib/iuavit/detail.action?docID=7021995</t>
  </si>
  <si>
    <t>Co-Corporeality of Humans, Machines, and Microbes</t>
  </si>
  <si>
    <t>Imhof, Barbara;Mitterberger, Daniela;Derme, Tiziano</t>
  </si>
  <si>
    <t>https://ebookcentral.proquest.com/lib/iuavit/detail.action?docID=7022018</t>
  </si>
  <si>
    <t>Process Mining Handbook</t>
  </si>
  <si>
    <t>van der Aalst, Wil M. P.;Carmona, Josep</t>
  </si>
  <si>
    <t>https://ebookcentral.proquest.com/lib/iuavit/detail.action?docID=7022530</t>
  </si>
  <si>
    <t>Glocal Governance : How to Govern in the Anthropocene?</t>
  </si>
  <si>
    <t>https://ebookcentral.proquest.com/lib/iuavit/detail.action?docID=7023507</t>
  </si>
  <si>
    <t>New Social Mobility : Second Generation Pioneers in Europe</t>
  </si>
  <si>
    <t>Schneider, Jens;Crul, Maurice;Pott, Andreas</t>
  </si>
  <si>
    <t>https://ebookcentral.proquest.com/lib/iuavit/detail.action?docID=7024359</t>
  </si>
  <si>
    <t>The Responsibility of Science</t>
  </si>
  <si>
    <t>Mieg, Harald A.</t>
  </si>
  <si>
    <t>https://ebookcentral.proquest.com/lib/iuavit/detail.action?docID=7024384</t>
  </si>
  <si>
    <t>Governing the Sustainable Development Goals : Quantification in Global Public Policy</t>
  </si>
  <si>
    <t>Bandola-Gill, Justyna;Grek, Sotiria;Tichenor, Marlee</t>
  </si>
  <si>
    <t>Economics; Business/Management; Social Science</t>
  </si>
  <si>
    <t>https://ebookcentral.proquest.com/lib/iuavit/detail.action?docID=7024388</t>
  </si>
  <si>
    <t>Bewusst im Paradies: Kitsch und Reflexivität</t>
  </si>
  <si>
    <t>Küpper, Thomas</t>
  </si>
  <si>
    <t>https://ebookcentral.proquest.com/lib/iuavit/detail.action?docID=7024715</t>
  </si>
  <si>
    <t>Queer Turkey : Transnational Poetics of Desire</t>
  </si>
  <si>
    <t>Poole, Ralph J.</t>
  </si>
  <si>
    <t>https://ebookcentral.proquest.com/lib/iuavit/detail.action?docID=7024717</t>
  </si>
  <si>
    <t>Verknüpfte Modernitäten : Brasilianisch-deutsche Interferenzen in Bezug auf Kulturpolitik und Menschenbild in der Nachkriegszeit</t>
  </si>
  <si>
    <t>Neubauer, Susanne</t>
  </si>
  <si>
    <t>https://ebookcentral.proquest.com/lib/iuavit/detail.action?docID=7024721</t>
  </si>
  <si>
    <t>Helfen : Situative und organisationale Ausprägungen einer unterbestimmten Praxis</t>
  </si>
  <si>
    <t>Böhringer, Daniela;Hitzler, Sarah;Richter, Martina</t>
  </si>
  <si>
    <t>https://ebookcentral.proquest.com/lib/iuavit/detail.action?docID=7024724</t>
  </si>
  <si>
    <t>»Transforming our World« - Zukunftsdiskurse zur Umsetzung der UN-Agenda 2030</t>
  </si>
  <si>
    <t>Meyer, Christiane</t>
  </si>
  <si>
    <t>https://ebookcentral.proquest.com/lib/iuavit/detail.action?docID=7024727</t>
  </si>
  <si>
    <t>Archives, Access and Artificial Intelligence : Working with Born-Digital and Digitized Archival Collections</t>
  </si>
  <si>
    <t>Jaillant, Lise</t>
  </si>
  <si>
    <t>https://ebookcentral.proquest.com/lib/iuavit/detail.action?docID=7024728</t>
  </si>
  <si>
    <t>Campus Medius: Digitales Kartografieren in den Kultur- und Medienwissenschaften</t>
  </si>
  <si>
    <t>Ganahl, Simon</t>
  </si>
  <si>
    <t>https://ebookcentral.proquest.com/lib/iuavit/detail.action?docID=7024729</t>
  </si>
  <si>
    <t>Campus Medius: Digital Mapping in Cultural and Media Studies</t>
  </si>
  <si>
    <t>https://ebookcentral.proquest.com/lib/iuavit/detail.action?docID=7024730</t>
  </si>
  <si>
    <t>Convivial Futures : Views from a Post-Growth Tomorrow</t>
  </si>
  <si>
    <t>Adloff, Frank;Caillé, Alain</t>
  </si>
  <si>
    <t>https://ebookcentral.proquest.com/lib/iuavit/detail.action?docID=7024732</t>
  </si>
  <si>
    <t>Lokal extrem Rechts : Analysen alltäglicher Vergesellschaftungen</t>
  </si>
  <si>
    <t>Mullis, Daniel;Miggelbrink, Judith</t>
  </si>
  <si>
    <t>https://ebookcentral.proquest.com/lib/iuavit/detail.action?docID=7024735</t>
  </si>
  <si>
    <t>Mit Adorno im Tonstudio : Zur Soziologie der Musikproduktion</t>
  </si>
  <si>
    <t>Waldecker, David</t>
  </si>
  <si>
    <t>https://ebookcentral.proquest.com/lib/iuavit/detail.action?docID=7024736</t>
  </si>
  <si>
    <t>Schauplätze des Reparierens und Selbermachens : Über neue urbane Infrastrukturen der Sorge und der Suffizienz in Wien</t>
  </si>
  <si>
    <t>Jonas, Michael;Segert, Astrid;Hassemer, Simeon</t>
  </si>
  <si>
    <t>https://ebookcentral.proquest.com/lib/iuavit/detail.action?docID=7024737</t>
  </si>
  <si>
    <t>Repräsentation - Partizipation - Zugänglichkeit : Theorie und Praxis gesellschaftlicher Einbindung in Museen und Ausstellungen</t>
  </si>
  <si>
    <t>Büchel, Julia</t>
  </si>
  <si>
    <t>https://ebookcentral.proquest.com/lib/iuavit/detail.action?docID=7024738</t>
  </si>
  <si>
    <t>Culture^2 : Theorizing Theory for the Twenty-First Century, Vol. 1</t>
  </si>
  <si>
    <t>Kelleter, Frank;Starre, Alexander</t>
  </si>
  <si>
    <t>https://ebookcentral.proquest.com/lib/iuavit/detail.action?docID=7024740</t>
  </si>
  <si>
    <t>Demenz im Quartier : Ehrenamt und Sozialraumorientierung für das Alter</t>
  </si>
  <si>
    <t>Gronemeyer, Reimer;Ritter, Martina;Schultz, Oliver;Träger, Jutta</t>
  </si>
  <si>
    <t>https://ebookcentral.proquest.com/lib/iuavit/detail.action?docID=7024742</t>
  </si>
  <si>
    <t>Gender Studies im Dialog : Transnationale und transdisziplinäre Perspektiven</t>
  </si>
  <si>
    <t>Artwinska, Anna;Schulze-Fellmann, Janine</t>
  </si>
  <si>
    <t>https://ebookcentral.proquest.com/lib/iuavit/detail.action?docID=7024743</t>
  </si>
  <si>
    <t>Heimat. Volkstum. Architektur : Sondierungen zum volkstumsorientierten Bauen der Heimatschutz-Bewegung im Kontext der Moderne und des Nationalsozialismus</t>
  </si>
  <si>
    <t>Schmitz, Rainer</t>
  </si>
  <si>
    <t>https://ebookcentral.proquest.com/lib/iuavit/detail.action?docID=7024744</t>
  </si>
  <si>
    <t>Zwischen Anstalt und Schule : Eine Wissensgeschichte der Erziehung »schwachsinniger« Kinder in Berlin, 1845-1914</t>
  </si>
  <si>
    <t>Garz, Jona Tomke</t>
  </si>
  <si>
    <t>https://ebookcentral.proquest.com/lib/iuavit/detail.action?docID=7024745</t>
  </si>
  <si>
    <t>Geschichte der Sklaverei in der niederländischen Republik : Recht, Rassismus und die Handlungsmacht Schwarzer Menschen und People of Color, 1680-1863</t>
  </si>
  <si>
    <t>Holzmann, Julia</t>
  </si>
  <si>
    <t>https://ebookcentral.proquest.com/lib/iuavit/detail.action?docID=7024746</t>
  </si>
  <si>
    <t>América Latina en la vorágine de la crisis : Extractivismos y alternativas</t>
  </si>
  <si>
    <t>Veltmeyer, Henry</t>
  </si>
  <si>
    <t>https://ebookcentral.proquest.com/lib/iuavit/detail.action?docID=7024747</t>
  </si>
  <si>
    <t>Wider die Geschichtsvergessenheit : Inszenierte Geschichte - historische Differenz - kritisches Bewusstsein</t>
  </si>
  <si>
    <t>Febel, Gisela;Kerth, Sonja;Lienert, Elisabeth</t>
  </si>
  <si>
    <t>https://ebookcentral.proquest.com/lib/iuavit/detail.action?docID=7024748</t>
  </si>
  <si>
    <t>Lexicon of Global Melodrama</t>
  </si>
  <si>
    <t>Paul, Heike;Marak, Sarah;Gerund, Katharina;Henderson, Marius</t>
  </si>
  <si>
    <t>https://ebookcentral.proquest.com/lib/iuavit/detail.action?docID=7024751</t>
  </si>
  <si>
    <t>Hochschulen in der Pandemie : Impulse für eine nachhaltige Entwicklung von Studium und Lehre</t>
  </si>
  <si>
    <t>Angenent, Holger;Petri, Jörg;Zimenkova, Tatiana</t>
  </si>
  <si>
    <t>https://ebookcentral.proquest.com/lib/iuavit/detail.action?docID=7024752</t>
  </si>
  <si>
    <t>Organisationaler Wandel durch Migration? : Zur Diversität in der Zivilgesellschaft</t>
  </si>
  <si>
    <t>Unger, Hella von;Baykara-Krumme, Helen;Karakayali, Serhat;Schönwälder, Karen</t>
  </si>
  <si>
    <t>https://ebookcentral.proquest.com/lib/iuavit/detail.action?docID=7024753</t>
  </si>
  <si>
    <t>»Failed« Migratory Adventures? : Malian Men Facing Conditions Post Deportation in Southern Mali</t>
  </si>
  <si>
    <t>Schultz, Susanne U.</t>
  </si>
  <si>
    <t>https://ebookcentral.proquest.com/lib/iuavit/detail.action?docID=7024755</t>
  </si>
  <si>
    <t>Die Arbeit am Ausdruck : Zur ästhetischen Dimension von Bildung. Eine artikulationstheoretische Annäherung</t>
  </si>
  <si>
    <t>Park, Anna</t>
  </si>
  <si>
    <t>https://ebookcentral.proquest.com/lib/iuavit/detail.action?docID=7024759</t>
  </si>
  <si>
    <t>Fremdheitserfahrungen und Othering : Ordnungen des »Eigenen« und »Fremden« in interreligiöser Bildung</t>
  </si>
  <si>
    <t>Freuding, Janosch</t>
  </si>
  <si>
    <t>https://ebookcentral.proquest.com/lib/iuavit/detail.action?docID=7024760</t>
  </si>
  <si>
    <t>Sozialkapital intersektional : Eine empirische Untersuchung an der Schnittstelle Behinderung und Migration</t>
  </si>
  <si>
    <t>Hinni, Chantal</t>
  </si>
  <si>
    <t>https://ebookcentral.proquest.com/lib/iuavit/detail.action?docID=7024764</t>
  </si>
  <si>
    <t>Cybersicherheit in Innen- und Außenpolitik : Deutsche und britische Policies im Vergleich</t>
  </si>
  <si>
    <t>Steiger, Stefan</t>
  </si>
  <si>
    <t>https://ebookcentral.proquest.com/lib/iuavit/detail.action?docID=7024765</t>
  </si>
  <si>
    <t>Minimalismus - Ein Reader</t>
  </si>
  <si>
    <t>Derwanz, Heike</t>
  </si>
  <si>
    <t>https://ebookcentral.proquest.com/lib/iuavit/detail.action?docID=7024767</t>
  </si>
  <si>
    <t>»Doing market« - Unternehmerische Praxis und der Diskurs um »ethnische Ökonomie« im Markt für muslimische Mode in Berlin</t>
  </si>
  <si>
    <t>Birnbauer, Robert</t>
  </si>
  <si>
    <t>https://ebookcentral.proquest.com/lib/iuavit/detail.action?docID=7024769</t>
  </si>
  <si>
    <t>Adoleszenz und Alterität : Aktuelle Perspektiven der interkulturellen Literaturwissenschaft und Literaturdidaktik</t>
  </si>
  <si>
    <t>Jakobi, Stefanie;Osthues, Julian;Pavlik, Jennifer</t>
  </si>
  <si>
    <t>https://ebookcentral.proquest.com/lib/iuavit/detail.action?docID=7024770</t>
  </si>
  <si>
    <t>Academics in Exile : Networks, Knowledge Exchange and New Forms of Internationalization</t>
  </si>
  <si>
    <t>Axyonova, Vera;Kohstall, Florian;Richter, Carola</t>
  </si>
  <si>
    <t>https://ebookcentral.proquest.com/lib/iuavit/detail.action?docID=7024771</t>
  </si>
  <si>
    <t>Migrationsforschung (inter)disziplinär : Eine anwendungsorientierte Einführung</t>
  </si>
  <si>
    <t>Schmitz-Vardar, Merve;Rumpel, Andrea;Graevskaia, Alexandra;Dinnebier, Laura</t>
  </si>
  <si>
    <t>https://ebookcentral.proquest.com/lib/iuavit/detail.action?docID=7024772</t>
  </si>
  <si>
    <t>Scale Matters : The Quality of Quantity in Human Culture and Sociality</t>
  </si>
  <si>
    <t>Widlok, Thomas;Cruz, M. Dores</t>
  </si>
  <si>
    <t>https://ebookcentral.proquest.com/lib/iuavit/detail.action?docID=7024773</t>
  </si>
  <si>
    <t>Critical by Design? : Genealogies, Practices, Positions</t>
  </si>
  <si>
    <t>Mareis, Claudia;Greiner-Petter, Moritz;Renner, Michael</t>
  </si>
  <si>
    <t>https://ebookcentral.proquest.com/lib/iuavit/detail.action?docID=7024775</t>
  </si>
  <si>
    <t>Das Karussell - Schwindel, Tausch und Täuschung : Szenen einer Medienphilosophie</t>
  </si>
  <si>
    <t>Bohn, Ralf</t>
  </si>
  <si>
    <t>https://ebookcentral.proquest.com/lib/iuavit/detail.action?docID=7024777</t>
  </si>
  <si>
    <t>Beyond Narrative : Exploring Narrative Liminality and Its Cultural Work</t>
  </si>
  <si>
    <t>Herrmann, Sebastian M.;Kanzler, Katja;Schubert, Stefan</t>
  </si>
  <si>
    <t>https://ebookcentral.proquest.com/lib/iuavit/detail.action?docID=7024778</t>
  </si>
  <si>
    <t>Diffraktionsereignisse der Gegenwart : Feministische Medienkunst trifft Neuen Materialismus</t>
  </si>
  <si>
    <t>Kronberger, Alisa</t>
  </si>
  <si>
    <t>https://ebookcentral.proquest.com/lib/iuavit/detail.action?docID=7024779</t>
  </si>
  <si>
    <t>Aus der Nacht in den Tag : Ein philosophisches Plädoyer für die plurale Gesellschaft</t>
  </si>
  <si>
    <t>https://ebookcentral.proquest.com/lib/iuavit/detail.action?docID=7024781</t>
  </si>
  <si>
    <t>Widerständige Ressource : Typologie und Gebrauch historischer Bauernhäuser</t>
  </si>
  <si>
    <t>Lüder, Ines</t>
  </si>
  <si>
    <t>https://ebookcentral.proquest.com/lib/iuavit/detail.action?docID=7024782</t>
  </si>
  <si>
    <t>Trauma im Computerspiel : Mediale Repräsentationen mentaler Extremerfahrungen</t>
  </si>
  <si>
    <t>Spies, Thomas</t>
  </si>
  <si>
    <t>https://ebookcentral.proquest.com/lib/iuavit/detail.action?docID=7024783</t>
  </si>
  <si>
    <t>Für ein Europa der Übergänge : Interkulturalität und Mehrsprachigkeit in europäischen Kontexten</t>
  </si>
  <si>
    <t>Patrut, Iulia-Karin;Rössler, Reto;Schiewer, Gesine Lenore</t>
  </si>
  <si>
    <t>https://ebookcentral.proquest.com/lib/iuavit/detail.action?docID=7024784</t>
  </si>
  <si>
    <t>Afrika im deutschsprachigen Kommunikationsraum : Neue Perspektiven interkultureller Sprach- und Literaturforschung</t>
  </si>
  <si>
    <t>Heinz, Friederike;Agossavi, Simplice;Ahouli, Akila;Logossou, Ursula;Schiewer, Gesine Lenore</t>
  </si>
  <si>
    <t>https://ebookcentral.proquest.com/lib/iuavit/detail.action?docID=7024785</t>
  </si>
  <si>
    <t>Musikvermittlung lernen : Analysen und Empfehlungen zur Aus- und Weiterbildung von Musiker_innen</t>
  </si>
  <si>
    <t>Petri-Preis, Axel</t>
  </si>
  <si>
    <t>https://ebookcentral.proquest.com/lib/iuavit/detail.action?docID=7024787</t>
  </si>
  <si>
    <t>The Notion of »holy« in Ancient Armenian Texts from the Fifth Century CE : A Comparative Approach Using Digital Tools and Methods</t>
  </si>
  <si>
    <t>Jurczyk, Thomas</t>
  </si>
  <si>
    <t>https://ebookcentral.proquest.com/lib/iuavit/detail.action?docID=7024789</t>
  </si>
  <si>
    <t>Patientenpolitiken : Zur Genealogie eines kollektiven Subjekts</t>
  </si>
  <si>
    <t>Gerhards, Helene</t>
  </si>
  <si>
    <t>https://ebookcentral.proquest.com/lib/iuavit/detail.action?docID=7024794</t>
  </si>
  <si>
    <t>Die Entdeckung der Gestaltbarkeit : Gesellschaftstheorien bei Alexis de Tocqueville, Karl Marx und Max Weber</t>
  </si>
  <si>
    <t>Baumert, Felix</t>
  </si>
  <si>
    <t>https://ebookcentral.proquest.com/lib/iuavit/detail.action?docID=7024798</t>
  </si>
  <si>
    <t>Now! Die Welt gemeinsam gestalten. Bildung neu denken : Das Morgenmachen-Lesebuch</t>
  </si>
  <si>
    <t>Weber, Angela;Eberhard, Lilli;Roord, Lena</t>
  </si>
  <si>
    <t>https://ebookcentral.proquest.com/lib/iuavit/detail.action?docID=7024802</t>
  </si>
  <si>
    <t>Risikodemokratie : Chemnitz zwischen rechtsradikalem Brennpunkt und europäischer Kulturhauptstadt</t>
  </si>
  <si>
    <t>Brichzin, Jenni;Laux, Henning;Bohmann, Ulf</t>
  </si>
  <si>
    <t>https://ebookcentral.proquest.com/lib/iuavit/detail.action?docID=7024803</t>
  </si>
  <si>
    <t>Public Space in Transition : Co-production and Co-management of Privately Owned Public Space in Seoul and Berlin</t>
  </si>
  <si>
    <t>Lee, Dahae</t>
  </si>
  <si>
    <t>https://ebookcentral.proquest.com/lib/iuavit/detail.action?docID=7024805</t>
  </si>
  <si>
    <t>Grenzjustierungen - Bildungsbiografien Zugewanderter zwischen Qualifikation und Re-Qualifizierung</t>
  </si>
  <si>
    <t>Prekodravac, Milena</t>
  </si>
  <si>
    <t>https://ebookcentral.proquest.com/lib/iuavit/detail.action?docID=7024808</t>
  </si>
  <si>
    <t>Die kurdische Frage in der Türkei : Über die gewaltsame Durchsetzung von Nationalstaatlichkeit</t>
  </si>
  <si>
    <t>Küpeli, Ismail</t>
  </si>
  <si>
    <t>https://ebookcentral.proquest.com/lib/iuavit/detail.action?docID=7024814</t>
  </si>
  <si>
    <t>Über-Menschen : Philosophische Auseinandersetzung mit der Anthropologie des Transhumanismus</t>
  </si>
  <si>
    <t>Puzio, Anna</t>
  </si>
  <si>
    <t>https://ebookcentral.proquest.com/lib/iuavit/detail.action?docID=7024817</t>
  </si>
  <si>
    <t>»Mehr Fortschritt wagen«? : Parteien, Personen, Milieus und Modernisierung: Regieren in Zeiten der Ampelkoalition</t>
  </si>
  <si>
    <t>Bergmann, Knut</t>
  </si>
  <si>
    <t>https://ebookcentral.proquest.com/lib/iuavit/detail.action?docID=7024818</t>
  </si>
  <si>
    <t>Liberalismus neu denken : Freiheitliche Antworten auf die Herausforderungen unserer Zeit</t>
  </si>
  <si>
    <t>Fücks, Ralf;Manthe, Rainald</t>
  </si>
  <si>
    <t>https://ebookcentral.proquest.com/lib/iuavit/detail.action?docID=7024820</t>
  </si>
  <si>
    <t>Die Ampelkoalition : Wie wird aus unterschiedlichen Zielen ein gemeinsames Regierungsprogramm?</t>
  </si>
  <si>
    <t>Lehmann, Pola;Matthieß, Theres;Regel, Sven;Weßels, Bernhard</t>
  </si>
  <si>
    <t>https://ebookcentral.proquest.com/lib/iuavit/detail.action?docID=7024823</t>
  </si>
  <si>
    <t>Widerstand als Selbstbehauptung : »Gefährdete« Jugendliche im Übergangs- und Berufsbildungssystem</t>
  </si>
  <si>
    <t>Preite, Luca</t>
  </si>
  <si>
    <t>https://ebookcentral.proquest.com/lib/iuavit/detail.action?docID=7024824</t>
  </si>
  <si>
    <t>Politischer Rassismus in der post-homogenen Gesellschaft : Eine postkoloniale Kritik</t>
  </si>
  <si>
    <t>Laing, Lorenz Narku</t>
  </si>
  <si>
    <t>https://ebookcentral.proquest.com/lib/iuavit/detail.action?docID=7024826</t>
  </si>
  <si>
    <t>Friedensgutachten 2022 : Friedensfähig in Kriegszeiten</t>
  </si>
  <si>
    <t>https://ebookcentral.proquest.com/lib/iuavit/detail.action?docID=7024827</t>
  </si>
  <si>
    <t>Deutschland und seine Flüchtlinge : Das Wechselbad der Diskurse im langen Sommer der Flucht 2015</t>
  </si>
  <si>
    <t>Becker, Uwe</t>
  </si>
  <si>
    <t>https://ebookcentral.proquest.com/lib/iuavit/detail.action?docID=7024828</t>
  </si>
  <si>
    <t>Security in Computer and Information Sciences : Second International Symposium, EuroCybersec 2021, Nice, France, October 25-26, 2021, Revised Selected Papers</t>
  </si>
  <si>
    <t>Gelenbe, Erol;Jankovic, Marija;Kehagias, Dionysios;Marton, Anna;Vilmos, Andras</t>
  </si>
  <si>
    <t>https://ebookcentral.proquest.com/lib/iuavit/detail.action?docID=7025298</t>
  </si>
  <si>
    <t>A Study of Crisis</t>
  </si>
  <si>
    <t>Brecher, Michael;Wilkenfeld, Jonathan</t>
  </si>
  <si>
    <t>D443</t>
  </si>
  <si>
    <t>https://ebookcentral.proquest.com/lib/iuavit/detail.action?docID=7026315</t>
  </si>
  <si>
    <t>Supercomputing Frontiers : 7th Asian Conference, SCFA 2022, Singapore, March 1-3, 2022, Proceedings</t>
  </si>
  <si>
    <t>Panda, Dhabaleswar K.;Sullivan, Michael</t>
  </si>
  <si>
    <t>Engineering; Computer Science/IT; Engineering: Electrical</t>
  </si>
  <si>
    <t>https://ebookcentral.proquest.com/lib/iuavit/detail.action?docID=7026750</t>
  </si>
  <si>
    <t>Human-Nature Interactions : Exploring Nature's Values Across Landscapes</t>
  </si>
  <si>
    <t>Misiune, Ieva;Depellegrin, Daniel;Egarter Vigl, Lukas</t>
  </si>
  <si>
    <t>https://ebookcentral.proquest.com/lib/iuavit/detail.action?docID=7026759</t>
  </si>
  <si>
    <t>Der Beitrag des Design Thinking Zur Marktorientierten Unternehmensführung : Ein Mindsetorientierter Analyseansatz</t>
  </si>
  <si>
    <t>Kiefer, Iphigenie Leandra</t>
  </si>
  <si>
    <t>https://ebookcentral.proquest.com/lib/iuavit/detail.action?docID=7026771</t>
  </si>
  <si>
    <t>Innovative Tools and Methods Using BIM for an Efficient Renovation in Buildings</t>
  </si>
  <si>
    <t>Daniotti, Bruno;Lupica Spagnolo, Sonia;Pavan, Alberto;Bolognesi, Cecilia Maria</t>
  </si>
  <si>
    <t>https://ebookcentral.proquest.com/lib/iuavit/detail.action?docID=7026779</t>
  </si>
  <si>
    <t>Systems Mapping : How to Build and Use Causal Models of Systems</t>
  </si>
  <si>
    <t>Barbrook-Johnson, Pete;Penn, Alexandra S.</t>
  </si>
  <si>
    <t>https://ebookcentral.proquest.com/lib/iuavit/detail.action?docID=7027158</t>
  </si>
  <si>
    <t>Applying Reflective Equilibrium : Towards the Justification of a Precautionary Principle</t>
  </si>
  <si>
    <t>Rechnitzer, Tanja</t>
  </si>
  <si>
    <t>https://ebookcentral.proquest.com/lib/iuavit/detail.action?docID=7027159</t>
  </si>
  <si>
    <t>Stem Cell Transplantations Between Siblings As Social Phenomena : The Child's Body and Family Decision-Making</t>
  </si>
  <si>
    <t>Schües, Christina;Rehmann-Sutter, Christoph;Jürgensen, Martina;Herzog, Madeleine</t>
  </si>
  <si>
    <t>https://ebookcentral.proquest.com/lib/iuavit/detail.action?docID=7027172</t>
  </si>
  <si>
    <t>Agriculture for Economic Development in Africa : Evidence from Ethiopia</t>
  </si>
  <si>
    <t>Rohne Till, Emelie</t>
  </si>
  <si>
    <t>https://ebookcentral.proquest.com/lib/iuavit/detail.action?docID=7028985</t>
  </si>
  <si>
    <t>Kommunikation Von Aufsichtsratsvorsitzenden : Grundlagen - Strukturen - Ziele - Management</t>
  </si>
  <si>
    <t>Binder-Tietz, Sandra</t>
  </si>
  <si>
    <t>https://ebookcentral.proquest.com/lib/iuavit/detail.action?docID=7028991</t>
  </si>
  <si>
    <t>How Data Quality Affects Our Understanding of the Earnings Distribution</t>
  </si>
  <si>
    <t>Daniels, Reza Che</t>
  </si>
  <si>
    <t>https://ebookcentral.proquest.com/lib/iuavit/detail.action?docID=7028997</t>
  </si>
  <si>
    <t>Krisenmanagement Am Beispiel der Flüchtlingslage 2015/2016 : Akteure, Zusammenarbeit und der Umgang Mit Wissen</t>
  </si>
  <si>
    <t>Schütte, Patricia M.;Schulte, Yannic;Schönefeld, Malte;Fiedrich, Frank</t>
  </si>
  <si>
    <t>https://ebookcentral.proquest.com/lib/iuavit/detail.action?docID=7029027</t>
  </si>
  <si>
    <t>Pflege-Report 2022 : Spezielle Versorgungslagen in der Langzeitpflege</t>
  </si>
  <si>
    <t>https://ebookcentral.proquest.com/lib/iuavit/detail.action?docID=7029182</t>
  </si>
  <si>
    <t>The Enactment of Strategic Leadership : A Critical Perspective</t>
  </si>
  <si>
    <t>Tipurić, Darko</t>
  </si>
  <si>
    <t>https://ebookcentral.proquest.com/lib/iuavit/detail.action?docID=7030719</t>
  </si>
  <si>
    <t>Migration in West Africa : IMISCOE Regional Reader</t>
  </si>
  <si>
    <t>Teye, Joseph Kofi</t>
  </si>
  <si>
    <t>https://ebookcentral.proquest.com/lib/iuavit/detail.action?docID=7030726</t>
  </si>
  <si>
    <t>Abortion Care As Moral Work : Ethical Considerations of Maternal and Fetal Bodies</t>
  </si>
  <si>
    <t>Schoen, Johanna;Boyd, Curtis;Boyd, Glenna;Chelian, Renee;Cunningham, Thomas;Dubow, Sarah;Heller, Marc;Miller, Amy Hagstrom;Partridge, Colin;Sella, Shelley</t>
  </si>
  <si>
    <t>https://ebookcentral.proquest.com/lib/iuavit/detail.action?docID=7032685</t>
  </si>
  <si>
    <t>The Logical Writings of Karl Popper</t>
  </si>
  <si>
    <t>Binder, David;Piecha, Thomas;Schroeder-Heister, Peter</t>
  </si>
  <si>
    <t>https://ebookcentral.proquest.com/lib/iuavit/detail.action?docID=7032802</t>
  </si>
  <si>
    <t>Cultura Literaria y Políticas de Mercado : Editoriales, Ferias y Festivales</t>
  </si>
  <si>
    <t>Gallego Cuiñas, Ana</t>
  </si>
  <si>
    <t>https://ebookcentral.proquest.com/lib/iuavit/detail.action?docID=7041536</t>
  </si>
  <si>
    <t>Gefährliche Forschung? : Eine Debatte über Gleichheit und Differenz in der Wissenschaft</t>
  </si>
  <si>
    <t>Hinsch, Wilfried;Brandtstädter, Susanne</t>
  </si>
  <si>
    <t>https://ebookcentral.proquest.com/lib/iuavit/detail.action?docID=7041537</t>
  </si>
  <si>
    <t>Glaube, Wissenschaft, Sprache : Eine Diachronische Studie Zur Protestantisch-Theologischen Fachsprache Im 20. Jahrhundert</t>
  </si>
  <si>
    <t>Gerdes, Joachim</t>
  </si>
  <si>
    <t>Language/Linguistics; Science: General</t>
  </si>
  <si>
    <t>https://ebookcentral.proquest.com/lib/iuavit/detail.action?docID=7041538</t>
  </si>
  <si>
    <t>Sprache(n) in Pädagogischen Settings</t>
  </si>
  <si>
    <t>Kainhofer, Judith;Rückl, Michaela</t>
  </si>
  <si>
    <t>https://ebookcentral.proquest.com/lib/iuavit/detail.action?docID=7041539</t>
  </si>
  <si>
    <t>Grundrechte : Klausur- und Examensfälle</t>
  </si>
  <si>
    <t>Petras, Maximilian;Valentiner, Dana-Sophia</t>
  </si>
  <si>
    <t>https://ebookcentral.proquest.com/lib/iuavit/detail.action?docID=7041541</t>
  </si>
  <si>
    <t>Acetylsalicylic Acid</t>
  </si>
  <si>
    <t>Schrör, Karsten</t>
  </si>
  <si>
    <t>https://ebookcentral.proquest.com/lib/iuavit/detail.action?docID=7041542</t>
  </si>
  <si>
    <t>Thinking Narratively : Between Novel-Essay and Narrative Essay</t>
  </si>
  <si>
    <t>Fusillo, Massimo;Simonetti, Gianluigi;Marchese, Lorenzo</t>
  </si>
  <si>
    <t>https://ebookcentral.proquest.com/lib/iuavit/detail.action?docID=7041552</t>
  </si>
  <si>
    <t>Poéticas Espectatoriales en Hispanoamérica y Brasil (1800-1847) : Ilustración - Emancipación - Convivencias Excluyentes</t>
  </si>
  <si>
    <t>Fernández, Hans</t>
  </si>
  <si>
    <t>https://ebookcentral.proquest.com/lib/iuavit/detail.action?docID=7041554</t>
  </si>
  <si>
    <t>Argumentationen über Den Klimawandel in Schweizer Medien : Entwicklung Einer Sektoralen Argumentationstheorie und -Typologie Für Den Diskurs über Klimawandel Zwischen 2007 Und 2014</t>
  </si>
  <si>
    <t>Kammermann, Nadine</t>
  </si>
  <si>
    <t>https://ebookcentral.proquest.com/lib/iuavit/detail.action?docID=7041585</t>
  </si>
  <si>
    <t>Narratologie und Vormoderne Japanische Literatur : Theoretische Grundlagen, Forschungskritik und Sprachlich Bedingte Charakteristika Japanischer Erzähltexte des 10. Bis 14. Jahrhunderts</t>
  </si>
  <si>
    <t>Balmes, Sebastian</t>
  </si>
  <si>
    <t>Social Science; History; Literature</t>
  </si>
  <si>
    <t>https://ebookcentral.proquest.com/lib/iuavit/detail.action?docID=7041586</t>
  </si>
  <si>
    <t>Handlungskoordination in der Lernwelt Hochschule : Rahmenbedingungen Kompetenzorientierter Lehre</t>
  </si>
  <si>
    <t>Becker, Alexandra</t>
  </si>
  <si>
    <t>https://ebookcentral.proquest.com/lib/iuavit/detail.action?docID=7041587</t>
  </si>
  <si>
    <t>A Generalization of Bohr-Mollerup's Theorem for Higher Order Convex Functions</t>
  </si>
  <si>
    <t>Marichal, Jean-Luc;Zenaïdi, Naïm</t>
  </si>
  <si>
    <t>QA351</t>
  </si>
  <si>
    <t>https://ebookcentral.proquest.com/lib/iuavit/detail.action?docID=7041855</t>
  </si>
  <si>
    <t>Novel Developments for Sustainable Hydropower</t>
  </si>
  <si>
    <t>Rutschmann, Peter;Kampa, Eleftheria;Wolter, Christian;Albayrak, Ismail;David, Laurent;Stoltz, Ulli;Schletterer, Martin</t>
  </si>
  <si>
    <t>https://ebookcentral.proquest.com/lib/iuavit/detail.action?docID=7041883</t>
  </si>
  <si>
    <t>Bioethics and the Holocaust : A Comprehensive Study in How the Holocaust Continues to Shape the Ethics of Health, Medicine and Human Rights</t>
  </si>
  <si>
    <t>Gallin, Stacy;Bedzow, Ira</t>
  </si>
  <si>
    <t>Science; Philosophy; Science: Biology/Natural History</t>
  </si>
  <si>
    <t>https://ebookcentral.proquest.com/lib/iuavit/detail.action?docID=7041898</t>
  </si>
  <si>
    <t>The Institutional Compass: Method, Use and Scope</t>
  </si>
  <si>
    <t>Friend, Michèle Indira</t>
  </si>
  <si>
    <t>https://ebookcentral.proquest.com/lib/iuavit/detail.action?docID=7042208</t>
  </si>
  <si>
    <t>European Parliament's Political Groups in Turbulent Times</t>
  </si>
  <si>
    <t>Ahrens, Petra;Elomäki, Anna;Kantola, Johanna</t>
  </si>
  <si>
    <t>https://ebookcentral.proquest.com/lib/iuavit/detail.action?docID=7042233</t>
  </si>
  <si>
    <t>Emerging Technologies : Value Creation for Sustainable Development</t>
  </si>
  <si>
    <t>Küfeoğlu, Sinan</t>
  </si>
  <si>
    <t>https://ebookcentral.proquest.com/lib/iuavit/detail.action?docID=7042562</t>
  </si>
  <si>
    <t>Migration Research in a Digitized World : Using Innovative Technology to Tackle Methodological Challenges</t>
  </si>
  <si>
    <t>Pötzschke, Steffen;Rinken, Sebastian</t>
  </si>
  <si>
    <t>https://ebookcentral.proquest.com/lib/iuavit/detail.action?docID=7042563</t>
  </si>
  <si>
    <t>Oswald, Gerhard;Saueressig, Thomas;Krcmar, Helmut</t>
  </si>
  <si>
    <t>HF54.5-54.56</t>
  </si>
  <si>
    <t>https://ebookcentral.proquest.com/lib/iuavit/detail.action?docID=7042565</t>
  </si>
  <si>
    <t>How and Why to Regulate False Political Advertising in Australia</t>
  </si>
  <si>
    <t>Hill, Lisa;Douglass, Max;Baltutis, Ravi</t>
  </si>
  <si>
    <t>JF375.2-619</t>
  </si>
  <si>
    <t>https://ebookcentral.proquest.com/lib/iuavit/detail.action?docID=7043291</t>
  </si>
  <si>
    <t>Proceeding of 2021 International Conference on Wireless Communications, Networking and Applications</t>
  </si>
  <si>
    <t>Qian, Zhihong;Jabbar, M. A.;Li, Xiaolong</t>
  </si>
  <si>
    <t>https://ebookcentral.proquest.com/lib/iuavit/detail.action?docID=7043319</t>
  </si>
  <si>
    <t>Home Truths? : Video Production and Domestic Life</t>
  </si>
  <si>
    <t>Buckingham, David;Pini, Maria;Willett, Rebekah</t>
  </si>
  <si>
    <t>Fine Arts; Business/Management</t>
  </si>
  <si>
    <t>384.55/8</t>
  </si>
  <si>
    <t>https://ebookcentral.proquest.com/lib/iuavit/detail.action?docID=7045442</t>
  </si>
  <si>
    <t>The American Literature Scholar in the Digital Age</t>
  </si>
  <si>
    <t>Earhart, Amy E.;Jewell, Andrew</t>
  </si>
  <si>
    <t>PS51</t>
  </si>
  <si>
    <t>https://ebookcentral.proquest.com/lib/iuavit/detail.action?docID=7045443</t>
  </si>
  <si>
    <t>Deployment and Operation of Complex Software in Heterogeneous Execution Environments : The SODALITE Approach</t>
  </si>
  <si>
    <t>Di Nitto, Elisabetta;Gorroñogoitia Cruz, Jesús;Kumara, Indika;Radolović, Dragan;Tokmakov, Kamil;Vasileiou, Zoe</t>
  </si>
  <si>
    <t>https://ebookcentral.proquest.com/lib/iuavit/detail.action?docID=7045466</t>
  </si>
  <si>
    <t>Integrating Data Science and Earth Science : Challenges and Solutions</t>
  </si>
  <si>
    <t>Bouwer, Laurens M.;Dransch, Doris;Ruhnke, Roland;Rechid, Diana;Frickenhaus, Stephan;Greinert, Jens</t>
  </si>
  <si>
    <t>https://ebookcentral.proquest.com/lib/iuavit/detail.action?docID=7045473</t>
  </si>
  <si>
    <t>Kantianism for Animals : A Radical Kantian Animal Ethic</t>
  </si>
  <si>
    <t>Müller, Nico Dario</t>
  </si>
  <si>
    <t>Agriculture; Philosophy</t>
  </si>
  <si>
    <t>https://ebookcentral.proquest.com/lib/iuavit/detail.action?docID=7045746</t>
  </si>
  <si>
    <t>Energy Poverty, Practice, and Policy</t>
  </si>
  <si>
    <t>Butler, Catherine</t>
  </si>
  <si>
    <t>https://ebookcentral.proquest.com/lib/iuavit/detail.action?docID=7045755</t>
  </si>
  <si>
    <t>Piezoelectric Electromechanical Transducers for Underwater Sound, Part III and IV</t>
  </si>
  <si>
    <t>S. Aronov, Boris</t>
  </si>
  <si>
    <t>https://ebookcentral.proquest.com/lib/iuavit/detail.action?docID=7045899</t>
  </si>
  <si>
    <t>Empire and Politics in the Eastern and Western Civilizations : Searching for a 'Respublica Romanosinica'</t>
  </si>
  <si>
    <t>Balbo, Andrea;Ahn, Jaewon;Kim, Kihoon</t>
  </si>
  <si>
    <t>https://ebookcentral.proquest.com/lib/iuavit/detail.action?docID=7045923</t>
  </si>
  <si>
    <t>300 Jahre Robinson Crusoe : Ein Weltbestseller und Seine Rezeptionsgeschichte</t>
  </si>
  <si>
    <t>Haug, Christine;Frimmel, Johannes;Bell, Bill</t>
  </si>
  <si>
    <t>https://ebookcentral.proquest.com/lib/iuavit/detail.action?docID=7045932</t>
  </si>
  <si>
    <t>Kellers Erzählen : Strukturen - Funktionen - Reflexionen</t>
  </si>
  <si>
    <t>Theisohn, Philipp</t>
  </si>
  <si>
    <t>https://ebookcentral.proquest.com/lib/iuavit/detail.action?docID=7045937</t>
  </si>
  <si>
    <t>Nationalism and Populism : Expressions of Fear or Political Strategies?</t>
  </si>
  <si>
    <t>Schapkow, Carsten;Jacob, Frank</t>
  </si>
  <si>
    <t>https://ebookcentral.proquest.com/lib/iuavit/detail.action?docID=7045943</t>
  </si>
  <si>
    <t>Reimagining Sustainable Organization : Perspectives on Arts, Design, Leadership, Knowledge and Project Management</t>
  </si>
  <si>
    <t>Jevnaker, Birgit Helene;Olaisen, Johan</t>
  </si>
  <si>
    <t>https://ebookcentral.proquest.com/lib/iuavit/detail.action?docID=7046586</t>
  </si>
  <si>
    <t>Beyond Global Food Supply Chains : Crisis, Disruption, Regeneration</t>
  </si>
  <si>
    <t>Stead, Victoria;Hinkson, Melinda</t>
  </si>
  <si>
    <t>https://ebookcentral.proquest.com/lib/iuavit/detail.action?docID=7047972</t>
  </si>
  <si>
    <t>Notions of Temporalities in Artistic Practice</t>
  </si>
  <si>
    <t>Batista, Anamarija</t>
  </si>
  <si>
    <t>https://ebookcentral.proquest.com/lib/iuavit/detail.action?docID=7048999</t>
  </si>
  <si>
    <t>A Short Media History of English Literature</t>
  </si>
  <si>
    <t>https://ebookcentral.proquest.com/lib/iuavit/detail.action?docID=7049009</t>
  </si>
  <si>
    <t>Überforderungseinwände in der Ethik</t>
  </si>
  <si>
    <t>Naegeli, Lukas</t>
  </si>
  <si>
    <t>https://ebookcentral.proquest.com/lib/iuavit/detail.action?docID=7049014</t>
  </si>
  <si>
    <t>Obstructions in Security-Aware Business Processes : Analysis, Detection, and Handling</t>
  </si>
  <si>
    <t>Holderer, Julius</t>
  </si>
  <si>
    <t>https://ebookcentral.proquest.com/lib/iuavit/detail.action?docID=7049442</t>
  </si>
  <si>
    <t>Global Perspectives on Educational Innovations for Emergency Situations</t>
  </si>
  <si>
    <t>Dennen, Vanessa;Dickson-Deane, Camille;Ge, Xun;Ifenthaler, Dirk;Murthy, Sahana;Richardson, Jennifer C.</t>
  </si>
  <si>
    <t>https://ebookcentral.proquest.com/lib/iuavit/detail.action?docID=7051090</t>
  </si>
  <si>
    <t>Digital Interaction and Machine Intelligence : Proceedings of MIDI'2021 - 9th Machine Intelligence and Digital Interaction Conference, December 9-10, 2021, Warsaw, Poland</t>
  </si>
  <si>
    <t>Biele, Cezary;Kacprzyk, Janusz;Kopeć, Wiesław;Owsiński, Jan W.;Romanowski, Andrzej;Sikorski, Marcin</t>
  </si>
  <si>
    <t>https://ebookcentral.proquest.com/lib/iuavit/detail.action?docID=7052062</t>
  </si>
  <si>
    <t>Innopolis University - from Zero to Hero : Ten Years of Challenges and Victories</t>
  </si>
  <si>
    <t>Mazzara, Manuel;Succi, Giancarlo;Tormasov, Alexander</t>
  </si>
  <si>
    <t>https://ebookcentral.proquest.com/lib/iuavit/detail.action?docID=7052080</t>
  </si>
  <si>
    <t>Science Et émotion : Le Rôle de l'émotion Dans la Pratique de la Recherche</t>
  </si>
  <si>
    <t>Petit, Emmanuel</t>
  </si>
  <si>
    <t>https://ebookcentral.proquest.com/lib/iuavit/detail.action?docID=7052827</t>
  </si>
  <si>
    <t>Case Studies in Biocultural Diversity from Southeast Asia : Traditional Ecological Calendars, Folk Medicine and Folk Names</t>
  </si>
  <si>
    <t>Franco, F. Merlin;Knudsen, Magne;Hassan, Noor Hasharina</t>
  </si>
  <si>
    <t>Economics; Science: Biology/Natural History; Environmental Studies; Science</t>
  </si>
  <si>
    <t>https://ebookcentral.proquest.com/lib/iuavit/detail.action?docID=7052880</t>
  </si>
  <si>
    <t>Evidence Based Global Health Manual for Preterm Birth Risk Assessment</t>
  </si>
  <si>
    <t>Anumba, Dilly Oc;Jayasooriya, Shamanthi M.</t>
  </si>
  <si>
    <t>https://ebookcentral.proquest.com/lib/iuavit/detail.action?docID=7052882</t>
  </si>
  <si>
    <t>Sustainable Food Systems for Food Security : Need for Combination of Local and Global Approaches</t>
  </si>
  <si>
    <t>Thomas, Alban;Alpha, Arlène;Barczak, Aleksandra;Zakhia-Rozis, Nadine</t>
  </si>
  <si>
    <t>https://ebookcentral.proquest.com/lib/iuavit/detail.action?docID=7054365</t>
  </si>
  <si>
    <t>La Fabrique de L'agronomie : De 1945 à Nos Jours</t>
  </si>
  <si>
    <t>Boiffin, Jean;Doré, Thierry;Kockmann, François;Papy, François;Prévost, Philippe</t>
  </si>
  <si>
    <t>https://ebookcentral.proquest.com/lib/iuavit/detail.action?docID=7054366</t>
  </si>
  <si>
    <t>Forêts et Changement Climatique : Comprendre et Modéliser le Fonctionnement Hydrique des Arbres</t>
  </si>
  <si>
    <t>Courbet, François;Doussan, Claude;Limousin, Jean-Marc;Martin-StPaul, Nicolas;Simioni, Guillaume</t>
  </si>
  <si>
    <t>https://ebookcentral.proquest.com/lib/iuavit/detail.action?docID=7054368</t>
  </si>
  <si>
    <t>Infrastructures de Données Spatiales : Évaluations économiques : Concepts, Méthodes et Retours D'expérience</t>
  </si>
  <si>
    <t>Rey-Valette, Hélène;Jabbour, Chady;Maurel, Pierre;Salles, Jean-Michel</t>
  </si>
  <si>
    <t>Science: General; Science: Astronomy; Geography/Travel</t>
  </si>
  <si>
    <t>https://ebookcentral.proquest.com/lib/iuavit/detail.action?docID=7054369</t>
  </si>
  <si>
    <t>Développer des Projets d'agriculture Urbaine Avec la Méthode Meth-Expau®</t>
  </si>
  <si>
    <t>Bertrand, Lisa;Giacchè, Giulia;Aubry, Christine</t>
  </si>
  <si>
    <t>https://ebookcentral.proquest.com/lib/iuavit/detail.action?docID=7054378</t>
  </si>
  <si>
    <t>Performing Modernism : A Jewish Avant-Garde in Bucharest</t>
  </si>
  <si>
    <t>Chiriac, Alexandra</t>
  </si>
  <si>
    <t>https://ebookcentral.proquest.com/lib/iuavit/detail.action?docID=7054777</t>
  </si>
  <si>
    <t>High-Quality Outdoor Learning : Evidence-Based Education Outside the Classroom for Children, Teachers and Society</t>
  </si>
  <si>
    <t>Jucker, Rolf;von Au, Jakob</t>
  </si>
  <si>
    <t>LC1038-1038.8</t>
  </si>
  <si>
    <t>https://ebookcentral.proquest.com/lib/iuavit/detail.action?docID=7054817</t>
  </si>
  <si>
    <t>Duale Schriftnutzung: Brailleschrift und Schwarzschrift : Eine Sequenzielle, Explanative Mixed-Methods Studie</t>
  </si>
  <si>
    <t>Winter, Fabian</t>
  </si>
  <si>
    <t>https://ebookcentral.proquest.com/lib/iuavit/detail.action?docID=7055680</t>
  </si>
  <si>
    <t>Die Vielen Gestalten des Thomas Hobbes in der Deutung Von Carl Schmitt und Leo Strauss</t>
  </si>
  <si>
    <t>Motuzaite, Ieva</t>
  </si>
  <si>
    <t>https://ebookcentral.proquest.com/lib/iuavit/detail.action?docID=7055683</t>
  </si>
  <si>
    <t>Wertorientierungen und Wahlverhalten : Effekte Gesellschaftlicher Wertorientierungen Bei Den Bundestagswahlen 2009 - 2017</t>
  </si>
  <si>
    <t>Wurthmann, L. Constantin</t>
  </si>
  <si>
    <t>https://ebookcentral.proquest.com/lib/iuavit/detail.action?docID=7055689</t>
  </si>
  <si>
    <t>Automated Reasoning : 11th International Joint Conference, IJCAR 2022, Haifa, Israel, August 8-10, 2022, Proceedings</t>
  </si>
  <si>
    <t>Blanchette, Jasmin;Kovács, Laura;Pattinson, Dirk</t>
  </si>
  <si>
    <t>https://ebookcentral.proquest.com/lib/iuavit/detail.action?docID=7055695</t>
  </si>
  <si>
    <t>Aktives Altern Im Digitalen Zeitalter : Informations-Kommunikations-Technologie Verstehen, Nutzen und Integrieren</t>
  </si>
  <si>
    <t>Ring-Dimitriou, Susanne;Dimitriou, Minas</t>
  </si>
  <si>
    <t>https://ebookcentral.proquest.com/lib/iuavit/detail.action?docID=7068732</t>
  </si>
  <si>
    <t>Simplicial and Dendroidal Homotopy Theory</t>
  </si>
  <si>
    <t>Heuts, Gijs;Moerdijk, Ieke</t>
  </si>
  <si>
    <t>QA169</t>
  </si>
  <si>
    <t>https://ebookcentral.proquest.com/lib/iuavit/detail.action?docID=7069232</t>
  </si>
  <si>
    <t>Computer Aided Verification : 34th International Conference, CAV 2022, Haifa, Israel, August 7-10, 2022, Proceedings, Part II</t>
  </si>
  <si>
    <t>Shoham, Sharon;Vizel, Yakir</t>
  </si>
  <si>
    <t>https://ebookcentral.proquest.com/lib/iuavit/detail.action?docID=7070165</t>
  </si>
  <si>
    <t>Entwicklung Von Methoden Zur Abstrakten Modellierung Von Automotive Systems-On-Chips</t>
  </si>
  <si>
    <t>Kirchner, Aljoscha</t>
  </si>
  <si>
    <t>https://ebookcentral.proquest.com/lib/iuavit/detail.action?docID=7070212</t>
  </si>
  <si>
    <t>Computer Aided Verification : 34th International Conference, CAV 2022, Haifa, Israel, August 7-10, 2022, Proceedings, Part I</t>
  </si>
  <si>
    <t>https://ebookcentral.proquest.com/lib/iuavit/detail.action?docID=7070218</t>
  </si>
  <si>
    <t>Angewandte Linguistik Für Sprachberufe</t>
  </si>
  <si>
    <t>ZHAW School of Applied Linguistics, Zhaw School</t>
  </si>
  <si>
    <t>Journalism; Language/Linguistics</t>
  </si>
  <si>
    <t>https://ebookcentral.proquest.com/lib/iuavit/detail.action?docID=7070239</t>
  </si>
  <si>
    <t>Commentary on Aristotle, Nicomachean Ethics : Critical Edition with Introduction and Translation</t>
  </si>
  <si>
    <t>Pachymeres, Georgios;Xenophontos, Sophia;Addey, Crystal</t>
  </si>
  <si>
    <t>https://ebookcentral.proquest.com/lib/iuavit/detail.action?docID=7070249</t>
  </si>
  <si>
    <t>Instrumenta Domestica Aus Pompeji und Ihr Design : Eine Untersuchung Zur Decorativen Gestaltung der Kleinfunde Aus Insula I 10</t>
  </si>
  <si>
    <t>Hielscher, Adrian</t>
  </si>
  <si>
    <t>https://ebookcentral.proquest.com/lib/iuavit/detail.action?docID=7070254</t>
  </si>
  <si>
    <t>Perspectives on the Self : Reflexivity in the Humanities</t>
  </si>
  <si>
    <t>Kolman, Vojtěch;Matějčková, Tereza</t>
  </si>
  <si>
    <t>https://ebookcentral.proquest.com/lib/iuavit/detail.action?docID=7070269</t>
  </si>
  <si>
    <t>Jewish Life and Culture in Germany After 1945 : Sacred Spaces, Objects and Musical Traditions</t>
  </si>
  <si>
    <t>Keßler, Katrin;Ross, Sarah M.;Staudinger, Barbara;Weik, Lea</t>
  </si>
  <si>
    <t>https://ebookcentral.proquest.com/lib/iuavit/detail.action?docID=7070276</t>
  </si>
  <si>
    <t>Schönheitsdiskurse in der Literatur des Mittelalters : Die Propädeutik des Fleisches Zwischen ,aisthesis' Und Ästhetik</t>
  </si>
  <si>
    <t>Scheidel, Fabian David</t>
  </si>
  <si>
    <t>https://ebookcentral.proquest.com/lib/iuavit/detail.action?docID=7070277</t>
  </si>
  <si>
    <t>The Expression of Collectivity in Romance Languages : An Empirical Analysis of Nominal Aspectuality with Focus on French</t>
  </si>
  <si>
    <t>Kleineberg, Désirée</t>
  </si>
  <si>
    <t>https://ebookcentral.proquest.com/lib/iuavit/detail.action?docID=7070278</t>
  </si>
  <si>
    <t>Navigating Copyright for Libraries : Purpose and Scope</t>
  </si>
  <si>
    <t>Coates, Jessica;Owen, Victoria;Reilly, Susan</t>
  </si>
  <si>
    <t>https://ebookcentral.proquest.com/lib/iuavit/detail.action?docID=7070279</t>
  </si>
  <si>
    <t>Konzepte des Jüdischen: Ausstellen, Aufklären, Erinnern : Jüdische Museen und Vermittlungsprojekte Im Alemannischen Sprachraum</t>
  </si>
  <si>
    <t>Pisetzki, Darja Alexandra</t>
  </si>
  <si>
    <t>https://ebookcentral.proquest.com/lib/iuavit/detail.action?docID=7070285</t>
  </si>
  <si>
    <t>When Tibetan Meditation Goes Global : A Study of the Adaptation of Bon Religious Practices in the West</t>
  </si>
  <si>
    <t>Arizaga, Mara Lisa</t>
  </si>
  <si>
    <t>https://ebookcentral.proquest.com/lib/iuavit/detail.action?docID=7070288</t>
  </si>
  <si>
    <t>Lernwelt Hochschule 2030 : Konzepte und Strategien Für eine Zukünftige Entwicklung</t>
  </si>
  <si>
    <t>https://ebookcentral.proquest.com/lib/iuavit/detail.action?docID=7070289</t>
  </si>
  <si>
    <t>Foundations of a Sociology of Canon Law</t>
  </si>
  <si>
    <t>Hahn, Judith</t>
  </si>
  <si>
    <t>K366-380.22</t>
  </si>
  <si>
    <t>https://ebookcentral.proquest.com/lib/iuavit/detail.action?docID=7070988</t>
  </si>
  <si>
    <t>Model and Mathematics: from the 19th to the 21st Century</t>
  </si>
  <si>
    <t>Friedman, Michael;Krauthausen, Karin</t>
  </si>
  <si>
    <t>https://ebookcentral.proquest.com/lib/iuavit/detail.action?docID=7070996</t>
  </si>
  <si>
    <t>Recognizing Green Skills Through Non-Formal Learning : A Comparative Study in Asia</t>
  </si>
  <si>
    <t>Pavlova, Margarita;Singh, Madhu</t>
  </si>
  <si>
    <t>https://ebookcentral.proquest.com/lib/iuavit/detail.action?docID=7072353</t>
  </si>
  <si>
    <t>Achieving the Paris Climate Agreement Goals : Part 2: Science-Based Target Setting for the Finance Industry -- Net-Zero Sectoral 1. 5˚C Pathways for Real Economy Sectors</t>
  </si>
  <si>
    <t>Teske, Sven</t>
  </si>
  <si>
    <t>https://ebookcentral.proquest.com/lib/iuavit/detail.action?docID=7072361</t>
  </si>
  <si>
    <t>The Politics of Bad Governance in Contemporary Russia</t>
  </si>
  <si>
    <t>Gel'man, Vladimir</t>
  </si>
  <si>
    <t>https://ebookcentral.proquest.com/lib/iuavit/detail.action?docID=7072640</t>
  </si>
  <si>
    <t>Méliès Boots : Footwear and Film Manufacturing in Second Industrial Revolution Paris</t>
  </si>
  <si>
    <t>Solomon, Matthew</t>
  </si>
  <si>
    <t>https://ebookcentral.proquest.com/lib/iuavit/detail.action?docID=7072641</t>
  </si>
  <si>
    <t>While Waiting for Rain : Community, Economy, and Law in a Time of Change</t>
  </si>
  <si>
    <t>Schlegel, John Henry</t>
  </si>
  <si>
    <t>https://ebookcentral.proquest.com/lib/iuavit/detail.action?docID=7072642</t>
  </si>
  <si>
    <t>Critical Points for the Organisation of Test Performance Studies in Microbiology : Plant Pathogens As a Case Study</t>
  </si>
  <si>
    <t>Vučurović, Ana;Mehle, Natasa;Anthoine, Géraldine;Dreo, Tanja;Ravnikar, Maja</t>
  </si>
  <si>
    <t>SB621-795</t>
  </si>
  <si>
    <t>https://ebookcentral.proquest.com/lib/iuavit/detail.action?docID=7072672</t>
  </si>
  <si>
    <t>Contingent Encounters : Improvisation in Music and Everyday Life</t>
  </si>
  <si>
    <t>DiPiero, Dan</t>
  </si>
  <si>
    <t>https://ebookcentral.proquest.com/lib/iuavit/detail.action?docID=7072787</t>
  </si>
  <si>
    <t>Teaching, Research and Academic Careers : An Analysis of the Interrelations and Impacts</t>
  </si>
  <si>
    <t>Checchi, Daniele;Jappelli, Tullio;Uricchio, Antonio</t>
  </si>
  <si>
    <t>https://ebookcentral.proquest.com/lib/iuavit/detail.action?docID=7073222</t>
  </si>
  <si>
    <t>Die Trade-Offs der Nachhaltigkeit : Eine Forschungsreise Zur Dreiwertigen Logik und Zu Science Constellations</t>
  </si>
  <si>
    <t>Groschupp, Steffen</t>
  </si>
  <si>
    <t>https://ebookcentral.proquest.com/lib/iuavit/detail.action?docID=7073231</t>
  </si>
  <si>
    <t>Digital Health Care in Taiwan : Innovations of National Health Insurance</t>
  </si>
  <si>
    <t>Lee, Po-Chang;Wang, Joyce Tsung-Hsi;Chen, Tzu-Yu;Peng, Chia-hui</t>
  </si>
  <si>
    <t>https://ebookcentral.proquest.com/lib/iuavit/detail.action?docID=7073373</t>
  </si>
  <si>
    <t>Verwaltung Im Digitalen Zeitalter : Die Rolle Digitaler Kompetenzen in der Personalakquise des Höheren Dienstes</t>
  </si>
  <si>
    <t>Catakli, Derya</t>
  </si>
  <si>
    <t>https://ebookcentral.proquest.com/lib/iuavit/detail.action?docID=7073378</t>
  </si>
  <si>
    <t>Baltic Hospitality from the Middle Ages to the Twentieth Century : Receiving Strangers in Northeastern Europe</t>
  </si>
  <si>
    <t>Nauman, Sari;Jezierski, Wojtek;Reimann, Christina;Runefelt, Leif</t>
  </si>
  <si>
    <t>https://ebookcentral.proquest.com/lib/iuavit/detail.action?docID=7074392</t>
  </si>
  <si>
    <t>Migration in South America : IMISCOE Regional Reader</t>
  </si>
  <si>
    <t>Herrera, Gioconda;Gómez, Carmen</t>
  </si>
  <si>
    <t>https://ebookcentral.proquest.com/lib/iuavit/detail.action?docID=7074833</t>
  </si>
  <si>
    <t>Esperanto - Lingua Franca and Language Community</t>
  </si>
  <si>
    <t>Fiedler, Sabine;Brosch, Cyril Robert</t>
  </si>
  <si>
    <t>https://ebookcentral.proquest.com/lib/iuavit/detail.action?docID=7074842</t>
  </si>
  <si>
    <t>Forest Bioeconomy and Climate Change</t>
  </si>
  <si>
    <t>Hetemäki, Lauri;Kangas, Jyrki;Peltola, Heli</t>
  </si>
  <si>
    <t>https://ebookcentral.proquest.com/lib/iuavit/detail.action?docID=7076024</t>
  </si>
  <si>
    <t>Planning Cities in Africa : Current Issues and Future Prospects of Urban Governance and Planning</t>
  </si>
  <si>
    <t>Alem Gebregiorgis, Genet;Greiving, Stefan;Namangaya, Ally Hassan;Kombe, Wilbard Jackson</t>
  </si>
  <si>
    <t>https://ebookcentral.proquest.com/lib/iuavit/detail.action?docID=7076026</t>
  </si>
  <si>
    <t>Consumer Decision Neuroscience : Ausgewählte Beiträge</t>
  </si>
  <si>
    <t>Gier, Nadine R.</t>
  </si>
  <si>
    <t>https://ebookcentral.proquest.com/lib/iuavit/detail.action?docID=7076046</t>
  </si>
  <si>
    <t>Urinary Stents : Current State and Future Perspectives</t>
  </si>
  <si>
    <t>Soria, Federico;Rako, Duje;de Graaf, Petra</t>
  </si>
  <si>
    <t>RD571-592</t>
  </si>
  <si>
    <t>https://ebookcentral.proquest.com/lib/iuavit/detail.action?docID=7076050</t>
  </si>
  <si>
    <t>Creating Chaos Online : Disinformation and Subverted Post-Publics</t>
  </si>
  <si>
    <t>Zelenkauskaite, Asta</t>
  </si>
  <si>
    <t>https://ebookcentral.proquest.com/lib/iuavit/detail.action?docID=7076090</t>
  </si>
  <si>
    <t>Manuscript and Print in the Islamic Tradition</t>
  </si>
  <si>
    <t>Reese, Scott</t>
  </si>
  <si>
    <t>https://ebookcentral.proquest.com/lib/iuavit/detail.action?docID=7076296</t>
  </si>
  <si>
    <t>International Handbook of Practical Theology</t>
  </si>
  <si>
    <t>Weyel, Birgit;Gräb, Wilhelm;Lartey, Emmanuel;Wepener, Cas</t>
  </si>
  <si>
    <t>https://ebookcentral.proquest.com/lib/iuavit/detail.action?docID=7076299</t>
  </si>
  <si>
    <t>Gender in der Deutschsprachigen Kinder- und Jugendliteratur : Vom Mittelalter Bis Zur Gegenwart</t>
  </si>
  <si>
    <t>Willms, Weertje</t>
  </si>
  <si>
    <t>https://ebookcentral.proquest.com/lib/iuavit/detail.action?docID=7076300</t>
  </si>
  <si>
    <t>On the Way to The (un)Known ? : The Ottoman Empire in Travelogues (C. 1450-1900)</t>
  </si>
  <si>
    <t>Gruber, Doris;Strohmeyer, Arno</t>
  </si>
  <si>
    <t>https://ebookcentral.proquest.com/lib/iuavit/detail.action?docID=7076308</t>
  </si>
  <si>
    <t>Primitive Thinking : Figuring Alterity in German Modernity</t>
  </si>
  <si>
    <t>Gess, Nicola;Butler, Erik;Solomon, Susan</t>
  </si>
  <si>
    <t>https://ebookcentral.proquest.com/lib/iuavit/detail.action?docID=7076310</t>
  </si>
  <si>
    <t>Unruly Narrative : Private Property, Self-Making, and Toni Morrison's a Mercy</t>
  </si>
  <si>
    <t>Spatzek, Samira</t>
  </si>
  <si>
    <t>https://ebookcentral.proquest.com/lib/iuavit/detail.action?docID=7076311</t>
  </si>
  <si>
    <t>Photographing Central Asia : From the Periphery of the Russian Empire to Global Presence</t>
  </si>
  <si>
    <t>Gorshenina, Svetlana;Abashin, Sergei;Cordier, Bruno de;Saburova, Tatiana</t>
  </si>
  <si>
    <t>https://ebookcentral.proquest.com/lib/iuavit/detail.action?docID=7076319</t>
  </si>
  <si>
    <t>Staatsorganisationsrecht : Klausur- und Examenswissen</t>
  </si>
  <si>
    <t>https://ebookcentral.proquest.com/lib/iuavit/detail.action?docID=7076321</t>
  </si>
  <si>
    <t>Juden und Ihre Nachbarn : Die Wissenschaft des Judentums Im Kontext Von Diaspora und Migration</t>
  </si>
  <si>
    <t>Schoor, Kerstin;Treß, Werner</t>
  </si>
  <si>
    <t>https://ebookcentral.proquest.com/lib/iuavit/detail.action?docID=7076323</t>
  </si>
  <si>
    <t>Culture As Soft Power : Bridging Cultural Relations, Intellectual Cooperation, and Cultural Diplomacy</t>
  </si>
  <si>
    <t>Carbó-Catalan, Elisabet;Roig Sanz, Diana</t>
  </si>
  <si>
    <t>https://ebookcentral.proquest.com/lib/iuavit/detail.action?docID=7076325</t>
  </si>
  <si>
    <t>Digital History : Konzepte, Methoden und Kritiken Digitaler Geschichtswissenschaft</t>
  </si>
  <si>
    <t>Döring, Karoline Dominika;Haas, Stefan;König, Mareike;Wettlaufer, Jörg</t>
  </si>
  <si>
    <t>https://ebookcentral.proquest.com/lib/iuavit/detail.action?docID=7076327</t>
  </si>
  <si>
    <t>Does God Intend That Sin Occur?</t>
  </si>
  <si>
    <t>Hart, Matthew J.;Hill, Daniel J.</t>
  </si>
  <si>
    <t>https://ebookcentral.proquest.com/lib/iuavit/detail.action?docID=7076755</t>
  </si>
  <si>
    <t>Der Staat Als ,Guter Auftraggeber'? Öffentliche Auftragsvergabe Zwischen Vermarktlichung und Sozialpolitisierung</t>
  </si>
  <si>
    <t>Jaehrling, Karen;Stiehm, Christin</t>
  </si>
  <si>
    <t>https://ebookcentral.proquest.com/lib/iuavit/detail.action?docID=7076794</t>
  </si>
  <si>
    <t>Psychology, Learning, Technology : First International Conference, PLT 2022, Foggia, Italy, January 19-21, 2022, Revised Selected Papers</t>
  </si>
  <si>
    <t>Limone, Pierpaolo;Di Fuccio, Raffaele;Toto, Giusi Antonia</t>
  </si>
  <si>
    <t>H61.3</t>
  </si>
  <si>
    <t>https://ebookcentral.proquest.com/lib/iuavit/detail.action?docID=7077172</t>
  </si>
  <si>
    <t>Youth Suicide Prevention and Intervention : Best Practices and Policy Implications</t>
  </si>
  <si>
    <t>Ackerman, John P.;Horowitz, Lisa M.</t>
  </si>
  <si>
    <t>https://ebookcentral.proquest.com/lib/iuavit/detail.action?docID=7077625</t>
  </si>
  <si>
    <t>Die Individuelle Mathematische Kreativität Von Schulkindern : Theoretische Grundlegung und Empirische Befunde Zur Kreativität Von Erstklässler*innen</t>
  </si>
  <si>
    <t>Bruhn, Svenja</t>
  </si>
  <si>
    <t>https://ebookcentral.proquest.com/lib/iuavit/detail.action?docID=7077634</t>
  </si>
  <si>
    <t>Migration and Domestic Work : IMISCOE Short Reader</t>
  </si>
  <si>
    <t>Marchetti, Sabrina</t>
  </si>
  <si>
    <t>https://ebookcentral.proquest.com/lib/iuavit/detail.action?docID=7077649</t>
  </si>
  <si>
    <t>Analysis of Reaction-Diffusion Models with the Taxis Mechanism</t>
  </si>
  <si>
    <t>Ke, Yuanyuan;Li, Jing;Wang, Yifu</t>
  </si>
  <si>
    <t>QA93</t>
  </si>
  <si>
    <t>https://ebookcentral.proquest.com/lib/iuavit/detail.action?docID=7077834</t>
  </si>
  <si>
    <t>Kosten der Hubschraubergestützten Notfallversorgung : Innovationsbasierte Szenarioanalyse und Empfehlungen Zur Gestaltung Von Luftrettungssystemen</t>
  </si>
  <si>
    <t>Röper, Johann W. A.</t>
  </si>
  <si>
    <t>https://ebookcentral.proquest.com/lib/iuavit/detail.action?docID=7078021</t>
  </si>
  <si>
    <t>Past, Present and Future of a Habitable Earth : The Development Strategy of Earth Science 2021 To 2030</t>
  </si>
  <si>
    <t>Res. Group Dev Strategy of Earth Science</t>
  </si>
  <si>
    <t>https://ebookcentral.proquest.com/lib/iuavit/detail.action?docID=7078087</t>
  </si>
  <si>
    <t>Moralische Dimensionen der Verletzlichkeit des Menschen : Interdisziplinäre Perspektiven Auf Einen Anthropologischen Grundbegriff und Seine Relevanz Für Die Medizinethik</t>
  </si>
  <si>
    <t>Coors, Michael</t>
  </si>
  <si>
    <t>https://ebookcentral.proquest.com/lib/iuavit/detail.action?docID=7078129</t>
  </si>
  <si>
    <t>Rethinking Secular Time in Victorian England</t>
  </si>
  <si>
    <t>Fisher-Høyrem, Stefan</t>
  </si>
  <si>
    <t>https://ebookcentral.proquest.com/lib/iuavit/detail.action?docID=7078310</t>
  </si>
  <si>
    <t>Droplet Dynamics under Extreme Ambient Conditions</t>
  </si>
  <si>
    <t>Schulte, Kathrin;Tropea, Cameron;Weigand, Bernhard</t>
  </si>
  <si>
    <t>https://ebookcentral.proquest.com/lib/iuavit/detail.action?docID=7079081</t>
  </si>
  <si>
    <t>The Pilgrim's Guide to the Workplace</t>
  </si>
  <si>
    <t>Chevez, Agustin</t>
  </si>
  <si>
    <t>https://ebookcentral.proquest.com/lib/iuavit/detail.action?docID=7079584</t>
  </si>
  <si>
    <t>Nontoxic: Masculinity, Allyship, and Feminist Philosophy</t>
  </si>
  <si>
    <t>Almassi, Ben</t>
  </si>
  <si>
    <t>H61.15</t>
  </si>
  <si>
    <t>https://ebookcentral.proquest.com/lib/iuavit/detail.action?docID=7079588</t>
  </si>
  <si>
    <t>Corporate Diplomacy: How Multinational Corporations Gain Organizational Legitimacy : A Neo-Institutional Public Relations Perspective</t>
  </si>
  <si>
    <t>Marschlich, Sarah</t>
  </si>
  <si>
    <t>HD59-59.6</t>
  </si>
  <si>
    <t>https://ebookcentral.proquest.com/lib/iuavit/detail.action?docID=7079591</t>
  </si>
  <si>
    <t>Managing Great Power Politics : ASEAN, Institutional Strategy, and the South China Sea</t>
  </si>
  <si>
    <t>Koga, Kei</t>
  </si>
  <si>
    <t>JF197</t>
  </si>
  <si>
    <t>https://ebookcentral.proquest.com/lib/iuavit/detail.action?docID=7079600</t>
  </si>
  <si>
    <t>Axial Spondyloarthritis: Patient-Reported Impact in Europe</t>
  </si>
  <si>
    <t>Garrido-Cumbrera, Marco;Navarro-Compán, Victoria;Bundy, Christine;Mahapatra, Raj;Makri, Souzi;Delgado-Domínguez, Carlos J.;Plazuelo-Ramos, Pedro;Poddubnyy, Denis</t>
  </si>
  <si>
    <t>https://ebookcentral.proquest.com/lib/iuavit/detail.action?docID=7079636</t>
  </si>
  <si>
    <t>Higher Degree by Research : Factors for Indigenous Student Success</t>
  </si>
  <si>
    <t>Anderson, Peter;Blue, Levon;Pham, Thu;Saward, Melanie</t>
  </si>
  <si>
    <t>https://ebookcentral.proquest.com/lib/iuavit/detail.action?docID=7079666</t>
  </si>
  <si>
    <t>Old Ways for New Days : Indigenous Survival and Agency in Climate Changed Times</t>
  </si>
  <si>
    <t>Nursey-Bray, Melissa;Palmer, Robert;Chischilly, Ann Marie;Rist, Phil;Yin, Lun</t>
  </si>
  <si>
    <t>https://ebookcentral.proquest.com/lib/iuavit/detail.action?docID=7080101</t>
  </si>
  <si>
    <t>Fertility Transition in the Developing World</t>
  </si>
  <si>
    <t>Bongaarts, John;Hodgson, Dennis</t>
  </si>
  <si>
    <t>https://ebookcentral.proquest.com/lib/iuavit/detail.action?docID=7080111</t>
  </si>
  <si>
    <t>Times of Insight: Conscience, Corporations, and the Common Good</t>
  </si>
  <si>
    <t>Goodpaster, Kenneth E.</t>
  </si>
  <si>
    <t>https://ebookcentral.proquest.com/lib/iuavit/detail.action?docID=7080146</t>
  </si>
  <si>
    <t>Electronic Voting : 7th International Joint Conference, e-Vote-ID 2022, Bregenz, Austria, October 4-7, 2022, Proceedings</t>
  </si>
  <si>
    <t>Krimmer, Robert;Volkamer, Melanie;Duenas-Cid, David;Rønne, Peter;Germann, Micha</t>
  </si>
  <si>
    <t>https://ebookcentral.proquest.com/lib/iuavit/detail.action?docID=7080214</t>
  </si>
  <si>
    <t>Making Sense of Immigrant Work Integration : An Organizing Framework</t>
  </si>
  <si>
    <t>Nardon, Luciara;Hari, Amrita</t>
  </si>
  <si>
    <t>HD62.4-62.45</t>
  </si>
  <si>
    <t>https://ebookcentral.proquest.com/lib/iuavit/detail.action?docID=7080714</t>
  </si>
  <si>
    <t>Constitutional Change in the European Union : Towards a Federal Europe</t>
  </si>
  <si>
    <t>Duff, Andrew</t>
  </si>
  <si>
    <t>https://ebookcentral.proquest.com/lib/iuavit/detail.action?docID=7080726</t>
  </si>
  <si>
    <t>An Introduction to the Mechanics of Incompressible Fluids</t>
  </si>
  <si>
    <t>Deville, Michel O.</t>
  </si>
  <si>
    <t>https://ebookcentral.proquest.com/lib/iuavit/detail.action?docID=7081046</t>
  </si>
  <si>
    <t>Mathematical Surprises</t>
  </si>
  <si>
    <t>Ben-Ari, Mordechai</t>
  </si>
  <si>
    <t>https://ebookcentral.proquest.com/lib/iuavit/detail.action?docID=7081892</t>
  </si>
  <si>
    <t>Data Spaces : Design, Deployment and Future Directions</t>
  </si>
  <si>
    <t>Curry, Edward;Scerri, Simon;Tuikka, Tuomo</t>
  </si>
  <si>
    <t>QA76.9.D3</t>
  </si>
  <si>
    <t>https://ebookcentral.proquest.com/lib/iuavit/detail.action?docID=7083155</t>
  </si>
  <si>
    <t>Introduction to Development Engineering : A Framework with Applications from the Field</t>
  </si>
  <si>
    <t>Madon, Temina;Gadgil, Ashok J.;Anderson, Richard;Casaburi, Lorenzo;Lee, Kenneth;Rezaee, Arman</t>
  </si>
  <si>
    <t>TA170-171</t>
  </si>
  <si>
    <t>https://ebookcentral.proquest.com/lib/iuavit/detail.action?docID=7083217</t>
  </si>
  <si>
    <t>https://ebookcentral.proquest.com/lib/iuavit/detail.action?docID=29377749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</si>
</sst>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
    <xf numFmtId="0" fontId="0" fillId="0" borderId="0" xfId="0"/>
    <xf numFmtId="14"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73"/>
  <sheetViews>
    <sheetView tabSelected="1" topLeftCell="A643" workbookViewId="0">
      <selection activeCell="D12" sqref="D12"/>
    </sheetView>
  </sheetViews>
  <sheetFormatPr defaultRowHeight="15" x14ac:dyDescent="0.25"/>
  <cols>
    <col min="2" max="2" width="59.7109375" customWidth="1"/>
    <col min="3" max="4" width="14.140625" bestFit="1" customWidth="1"/>
    <col min="5" max="5" width="23.85546875" customWidth="1"/>
  </cols>
  <sheetData>
    <row r="1" spans="1:13" x14ac:dyDescent="0.25">
      <c r="A1" t="s">
        <v>0</v>
      </c>
      <c r="B1" t="s">
        <v>1</v>
      </c>
      <c r="C1" t="s">
        <v>2</v>
      </c>
      <c r="D1" t="s">
        <v>3</v>
      </c>
      <c r="E1" t="s">
        <v>4</v>
      </c>
      <c r="F1" t="s">
        <v>5</v>
      </c>
      <c r="G1" t="s">
        <v>6</v>
      </c>
      <c r="H1" t="s">
        <v>7</v>
      </c>
      <c r="I1" t="s">
        <v>8</v>
      </c>
      <c r="J1" t="s">
        <v>9</v>
      </c>
      <c r="K1" t="s">
        <v>10</v>
      </c>
      <c r="L1" t="s">
        <v>11</v>
      </c>
      <c r="M1" t="s">
        <v>12</v>
      </c>
    </row>
    <row r="2" spans="1:13" x14ac:dyDescent="0.25">
      <c r="A2">
        <v>231315</v>
      </c>
      <c r="B2" t="s">
        <v>13</v>
      </c>
      <c r="C2" t="str">
        <f>"9780719052590"</f>
        <v>9780719052590</v>
      </c>
      <c r="D2" t="str">
        <f>"9781847790248"</f>
        <v>9781847790248</v>
      </c>
      <c r="E2" t="s">
        <v>14</v>
      </c>
      <c r="F2" s="1">
        <v>37800</v>
      </c>
      <c r="G2" t="s">
        <v>15</v>
      </c>
      <c r="H2" t="s">
        <v>16</v>
      </c>
      <c r="I2" t="s">
        <v>17</v>
      </c>
      <c r="J2" t="s">
        <v>18</v>
      </c>
      <c r="K2" t="s">
        <v>19</v>
      </c>
      <c r="L2" t="s">
        <v>20</v>
      </c>
      <c r="M2" t="s">
        <v>21</v>
      </c>
    </row>
    <row r="3" spans="1:13" x14ac:dyDescent="0.25">
      <c r="A3">
        <v>239235</v>
      </c>
      <c r="B3" t="s">
        <v>22</v>
      </c>
      <c r="C3" t="str">
        <f>"9780719064685"</f>
        <v>9780719064685</v>
      </c>
      <c r="D3" t="str">
        <f>"9781847790293"</f>
        <v>9781847790293</v>
      </c>
      <c r="E3" t="s">
        <v>14</v>
      </c>
      <c r="F3" s="1">
        <v>37820</v>
      </c>
      <c r="G3" t="s">
        <v>23</v>
      </c>
      <c r="H3" t="s">
        <v>24</v>
      </c>
      <c r="I3" t="s">
        <v>25</v>
      </c>
      <c r="J3">
        <v>306.34199999999998</v>
      </c>
      <c r="K3" t="s">
        <v>26</v>
      </c>
      <c r="L3" t="s">
        <v>20</v>
      </c>
      <c r="M3" t="s">
        <v>27</v>
      </c>
    </row>
    <row r="4" spans="1:13" x14ac:dyDescent="0.25">
      <c r="A4">
        <v>242612</v>
      </c>
      <c r="B4" t="s">
        <v>28</v>
      </c>
      <c r="C4" t="str">
        <f>"9780719063725"</f>
        <v>9780719063725</v>
      </c>
      <c r="D4" t="str">
        <f>"9781847790552"</f>
        <v>9781847790552</v>
      </c>
      <c r="E4" t="s">
        <v>14</v>
      </c>
      <c r="F4" s="1">
        <v>37757</v>
      </c>
      <c r="G4" t="s">
        <v>29</v>
      </c>
      <c r="H4" t="s">
        <v>30</v>
      </c>
      <c r="I4" t="s">
        <v>31</v>
      </c>
      <c r="J4">
        <v>322.1095694</v>
      </c>
      <c r="K4" t="s">
        <v>32</v>
      </c>
      <c r="L4" t="s">
        <v>20</v>
      </c>
      <c r="M4" t="s">
        <v>33</v>
      </c>
    </row>
    <row r="5" spans="1:13" x14ac:dyDescent="0.25">
      <c r="A5">
        <v>242613</v>
      </c>
      <c r="B5" t="s">
        <v>34</v>
      </c>
      <c r="C5" t="str">
        <f>"9780719057380"</f>
        <v>9780719057380</v>
      </c>
      <c r="D5" t="str">
        <f>"9781847790330"</f>
        <v>9781847790330</v>
      </c>
      <c r="E5" t="s">
        <v>14</v>
      </c>
      <c r="F5" s="1">
        <v>37728</v>
      </c>
      <c r="G5" t="s">
        <v>35</v>
      </c>
      <c r="H5" t="s">
        <v>16</v>
      </c>
      <c r="I5" t="s">
        <v>36</v>
      </c>
      <c r="J5">
        <v>111.85</v>
      </c>
      <c r="K5" t="s">
        <v>37</v>
      </c>
      <c r="L5" t="s">
        <v>20</v>
      </c>
      <c r="M5" t="s">
        <v>38</v>
      </c>
    </row>
    <row r="6" spans="1:13" x14ac:dyDescent="0.25">
      <c r="A6">
        <v>242614</v>
      </c>
      <c r="B6" t="s">
        <v>39</v>
      </c>
      <c r="C6" t="str">
        <f>"9780719062674"</f>
        <v>9780719062674</v>
      </c>
      <c r="D6" t="str">
        <f>"9781847790521"</f>
        <v>9781847790521</v>
      </c>
      <c r="E6" t="s">
        <v>14</v>
      </c>
      <c r="F6" s="1">
        <v>37540</v>
      </c>
      <c r="G6" t="s">
        <v>40</v>
      </c>
      <c r="H6" t="s">
        <v>41</v>
      </c>
      <c r="I6" t="s">
        <v>42</v>
      </c>
      <c r="J6">
        <v>338.06400000000002</v>
      </c>
      <c r="K6" t="s">
        <v>43</v>
      </c>
      <c r="L6" t="s">
        <v>20</v>
      </c>
      <c r="M6" t="s">
        <v>44</v>
      </c>
    </row>
    <row r="7" spans="1:13" x14ac:dyDescent="0.25">
      <c r="A7">
        <v>242616</v>
      </c>
      <c r="B7" t="s">
        <v>45</v>
      </c>
      <c r="C7" t="str">
        <f>"9780719063640"</f>
        <v>9780719063640</v>
      </c>
      <c r="D7" t="str">
        <f>"9781847790392"</f>
        <v>9781847790392</v>
      </c>
      <c r="E7" t="s">
        <v>14</v>
      </c>
      <c r="F7" s="1">
        <v>37870</v>
      </c>
      <c r="G7" t="s">
        <v>46</v>
      </c>
      <c r="H7" t="s">
        <v>47</v>
      </c>
      <c r="I7" t="s">
        <v>48</v>
      </c>
      <c r="J7">
        <v>794.8</v>
      </c>
      <c r="K7" t="s">
        <v>49</v>
      </c>
      <c r="L7" t="s">
        <v>20</v>
      </c>
      <c r="M7" t="s">
        <v>50</v>
      </c>
    </row>
    <row r="8" spans="1:13" x14ac:dyDescent="0.25">
      <c r="A8">
        <v>242617</v>
      </c>
      <c r="B8" t="s">
        <v>51</v>
      </c>
      <c r="C8" t="str">
        <f>"9780719058691"</f>
        <v>9780719058691</v>
      </c>
      <c r="D8" t="str">
        <f>"9781847790255"</f>
        <v>9781847790255</v>
      </c>
      <c r="E8" t="s">
        <v>14</v>
      </c>
      <c r="F8" s="1">
        <v>37730</v>
      </c>
      <c r="G8" t="s">
        <v>52</v>
      </c>
      <c r="H8" t="s">
        <v>30</v>
      </c>
      <c r="I8" t="s">
        <v>53</v>
      </c>
      <c r="J8">
        <v>320.94709048999999</v>
      </c>
      <c r="K8" t="s">
        <v>54</v>
      </c>
      <c r="L8" t="s">
        <v>20</v>
      </c>
      <c r="M8" t="s">
        <v>55</v>
      </c>
    </row>
    <row r="9" spans="1:13" x14ac:dyDescent="0.25">
      <c r="A9">
        <v>242618</v>
      </c>
      <c r="B9" t="s">
        <v>56</v>
      </c>
      <c r="C9" t="str">
        <f>"9780719057939"</f>
        <v>9780719057939</v>
      </c>
      <c r="D9" t="str">
        <f>"9781847790118"</f>
        <v>9781847790118</v>
      </c>
      <c r="E9" t="s">
        <v>14</v>
      </c>
      <c r="F9" s="1">
        <v>36848</v>
      </c>
      <c r="G9" t="s">
        <v>57</v>
      </c>
      <c r="H9" t="s">
        <v>30</v>
      </c>
      <c r="I9" t="s">
        <v>58</v>
      </c>
      <c r="J9" t="s">
        <v>59</v>
      </c>
      <c r="K9" t="s">
        <v>60</v>
      </c>
      <c r="L9" t="s">
        <v>20</v>
      </c>
      <c r="M9" t="s">
        <v>61</v>
      </c>
    </row>
    <row r="10" spans="1:13" x14ac:dyDescent="0.25">
      <c r="A10">
        <v>242619</v>
      </c>
      <c r="B10" t="s">
        <v>62</v>
      </c>
      <c r="C10" t="str">
        <f>"9780719062322"</f>
        <v>9780719062322</v>
      </c>
      <c r="D10" t="str">
        <f>"9781847790453"</f>
        <v>9781847790453</v>
      </c>
      <c r="E10" t="s">
        <v>14</v>
      </c>
      <c r="F10" s="1">
        <v>37820</v>
      </c>
      <c r="G10" t="s">
        <v>63</v>
      </c>
      <c r="H10" t="s">
        <v>64</v>
      </c>
      <c r="I10" t="s">
        <v>65</v>
      </c>
      <c r="J10">
        <v>303.38499999999999</v>
      </c>
      <c r="K10" t="s">
        <v>66</v>
      </c>
      <c r="L10" t="s">
        <v>20</v>
      </c>
      <c r="M10" t="s">
        <v>67</v>
      </c>
    </row>
    <row r="11" spans="1:13" x14ac:dyDescent="0.25">
      <c r="A11">
        <v>242620</v>
      </c>
      <c r="B11" t="s">
        <v>68</v>
      </c>
      <c r="C11" t="str">
        <f>"9780719062483"</f>
        <v>9780719062483</v>
      </c>
      <c r="D11" t="str">
        <f>"9781847790477"</f>
        <v>9781847790477</v>
      </c>
      <c r="E11" t="s">
        <v>14</v>
      </c>
      <c r="F11" s="1">
        <v>37770</v>
      </c>
      <c r="G11" t="s">
        <v>69</v>
      </c>
      <c r="H11" t="s">
        <v>70</v>
      </c>
      <c r="I11" t="s">
        <v>71</v>
      </c>
      <c r="J11" t="s">
        <v>72</v>
      </c>
      <c r="K11" t="s">
        <v>73</v>
      </c>
      <c r="L11" t="s">
        <v>20</v>
      </c>
      <c r="M11" t="s">
        <v>74</v>
      </c>
    </row>
    <row r="12" spans="1:13" x14ac:dyDescent="0.25">
      <c r="A12">
        <v>242622</v>
      </c>
      <c r="B12" t="s">
        <v>75</v>
      </c>
      <c r="C12" t="str">
        <f>"9780719063855"</f>
        <v>9780719063855</v>
      </c>
      <c r="D12" t="str">
        <f>"9781847790415"</f>
        <v>9781847790415</v>
      </c>
      <c r="E12" t="s">
        <v>14</v>
      </c>
      <c r="F12" s="1">
        <v>37820</v>
      </c>
      <c r="G12" t="s">
        <v>76</v>
      </c>
      <c r="H12" t="s">
        <v>41</v>
      </c>
      <c r="I12" t="s">
        <v>77</v>
      </c>
      <c r="J12" t="s">
        <v>78</v>
      </c>
      <c r="K12" t="s">
        <v>79</v>
      </c>
      <c r="L12" t="s">
        <v>20</v>
      </c>
      <c r="M12" t="s">
        <v>80</v>
      </c>
    </row>
    <row r="13" spans="1:13" x14ac:dyDescent="0.25">
      <c r="A13">
        <v>242623</v>
      </c>
      <c r="B13" t="s">
        <v>81</v>
      </c>
      <c r="C13" t="str">
        <f>"9780719063862"</f>
        <v>9780719063862</v>
      </c>
      <c r="D13" t="str">
        <f>"9781847790279"</f>
        <v>9781847790279</v>
      </c>
      <c r="E13" t="s">
        <v>14</v>
      </c>
      <c r="F13" s="1">
        <v>37800</v>
      </c>
      <c r="G13" t="s">
        <v>82</v>
      </c>
      <c r="H13" t="s">
        <v>83</v>
      </c>
      <c r="I13" t="s">
        <v>84</v>
      </c>
      <c r="J13" t="s">
        <v>85</v>
      </c>
      <c r="K13" t="s">
        <v>86</v>
      </c>
      <c r="L13" t="s">
        <v>20</v>
      </c>
      <c r="M13" t="s">
        <v>87</v>
      </c>
    </row>
    <row r="14" spans="1:13" x14ac:dyDescent="0.25">
      <c r="A14">
        <v>242624</v>
      </c>
      <c r="B14" t="s">
        <v>88</v>
      </c>
      <c r="C14" t="str">
        <f>"9780719054204"</f>
        <v>9780719054204</v>
      </c>
      <c r="D14" t="str">
        <f>"9781847790323"</f>
        <v>9781847790323</v>
      </c>
      <c r="E14" t="s">
        <v>14</v>
      </c>
      <c r="F14" s="1">
        <v>37728</v>
      </c>
      <c r="G14" t="s">
        <v>89</v>
      </c>
      <c r="H14" t="s">
        <v>30</v>
      </c>
      <c r="I14" t="s">
        <v>90</v>
      </c>
      <c r="J14">
        <v>320.94</v>
      </c>
      <c r="K14" t="s">
        <v>91</v>
      </c>
      <c r="L14" t="s">
        <v>20</v>
      </c>
      <c r="M14" t="s">
        <v>92</v>
      </c>
    </row>
    <row r="15" spans="1:13" x14ac:dyDescent="0.25">
      <c r="A15">
        <v>242625</v>
      </c>
      <c r="B15" t="s">
        <v>93</v>
      </c>
      <c r="C15" t="str">
        <f>"9780719063121"</f>
        <v>9780719063121</v>
      </c>
      <c r="D15" t="str">
        <f>"9781847790545"</f>
        <v>9781847790545</v>
      </c>
      <c r="E15" t="s">
        <v>14</v>
      </c>
      <c r="F15" s="1">
        <v>37687</v>
      </c>
      <c r="G15" t="s">
        <v>94</v>
      </c>
      <c r="H15" t="s">
        <v>70</v>
      </c>
      <c r="I15" t="s">
        <v>95</v>
      </c>
      <c r="J15" t="s">
        <v>96</v>
      </c>
      <c r="K15" t="s">
        <v>97</v>
      </c>
      <c r="L15" t="s">
        <v>20</v>
      </c>
      <c r="M15" t="s">
        <v>98</v>
      </c>
    </row>
    <row r="16" spans="1:13" x14ac:dyDescent="0.25">
      <c r="A16">
        <v>242626</v>
      </c>
      <c r="B16" t="s">
        <v>99</v>
      </c>
      <c r="C16" t="str">
        <f>"9780719060700"</f>
        <v>9780719060700</v>
      </c>
      <c r="D16" t="str">
        <f>"9781847790149"</f>
        <v>9781847790149</v>
      </c>
      <c r="E16" t="s">
        <v>14</v>
      </c>
      <c r="F16" s="1">
        <v>37639</v>
      </c>
      <c r="G16" t="s">
        <v>100</v>
      </c>
      <c r="H16" t="s">
        <v>101</v>
      </c>
      <c r="I16" t="s">
        <v>102</v>
      </c>
      <c r="J16" t="s">
        <v>103</v>
      </c>
      <c r="K16" t="s">
        <v>104</v>
      </c>
      <c r="L16" t="s">
        <v>20</v>
      </c>
      <c r="M16" t="s">
        <v>105</v>
      </c>
    </row>
    <row r="17" spans="1:13" x14ac:dyDescent="0.25">
      <c r="A17">
        <v>242627</v>
      </c>
      <c r="B17" t="s">
        <v>106</v>
      </c>
      <c r="C17" t="str">
        <f>"9780719057144"</f>
        <v>9780719057144</v>
      </c>
      <c r="D17" t="str">
        <f>"9781847790439"</f>
        <v>9781847790439</v>
      </c>
      <c r="E17" t="s">
        <v>14</v>
      </c>
      <c r="F17" s="1">
        <v>37870</v>
      </c>
      <c r="G17" t="s">
        <v>107</v>
      </c>
      <c r="H17" t="s">
        <v>108</v>
      </c>
      <c r="I17" t="s">
        <v>109</v>
      </c>
      <c r="J17">
        <v>941.06092000000001</v>
      </c>
      <c r="K17" t="s">
        <v>110</v>
      </c>
      <c r="L17" t="s">
        <v>20</v>
      </c>
      <c r="M17" t="s">
        <v>111</v>
      </c>
    </row>
    <row r="18" spans="1:13" x14ac:dyDescent="0.25">
      <c r="A18">
        <v>242628</v>
      </c>
      <c r="B18" t="s">
        <v>112</v>
      </c>
      <c r="C18" t="str">
        <f>"9780719057083"</f>
        <v>9780719057083</v>
      </c>
      <c r="D18" t="str">
        <f>"9781847790187"</f>
        <v>9781847790187</v>
      </c>
      <c r="E18" t="s">
        <v>14</v>
      </c>
      <c r="F18" s="1">
        <v>37622</v>
      </c>
      <c r="G18" t="s">
        <v>113</v>
      </c>
      <c r="H18" t="s">
        <v>16</v>
      </c>
      <c r="I18" t="s">
        <v>114</v>
      </c>
      <c r="J18" t="s">
        <v>115</v>
      </c>
      <c r="K18" t="s">
        <v>116</v>
      </c>
      <c r="L18" t="s">
        <v>20</v>
      </c>
      <c r="M18" t="s">
        <v>117</v>
      </c>
    </row>
    <row r="19" spans="1:13" x14ac:dyDescent="0.25">
      <c r="A19">
        <v>242629</v>
      </c>
      <c r="B19" t="s">
        <v>118</v>
      </c>
      <c r="C19" t="str">
        <f>"9780719058271"</f>
        <v>9780719058271</v>
      </c>
      <c r="D19" t="str">
        <f>"9781847790194"</f>
        <v>9781847790194</v>
      </c>
      <c r="E19" t="s">
        <v>14</v>
      </c>
      <c r="F19" s="1">
        <v>37800</v>
      </c>
      <c r="G19" t="s">
        <v>119</v>
      </c>
      <c r="H19" t="s">
        <v>120</v>
      </c>
      <c r="I19" t="s">
        <v>121</v>
      </c>
      <c r="J19">
        <v>306.2</v>
      </c>
      <c r="K19" t="s">
        <v>122</v>
      </c>
      <c r="L19" t="s">
        <v>20</v>
      </c>
      <c r="M19" t="s">
        <v>123</v>
      </c>
    </row>
    <row r="20" spans="1:13" x14ac:dyDescent="0.25">
      <c r="A20">
        <v>242630</v>
      </c>
      <c r="B20" t="s">
        <v>124</v>
      </c>
      <c r="C20" t="str">
        <f>"9780719060960"</f>
        <v>9780719060960</v>
      </c>
      <c r="D20" t="str">
        <f>"9781847790156"</f>
        <v>9781847790156</v>
      </c>
      <c r="E20" t="s">
        <v>14</v>
      </c>
      <c r="F20" s="1">
        <v>37639</v>
      </c>
      <c r="G20" t="s">
        <v>125</v>
      </c>
      <c r="H20" t="s">
        <v>126</v>
      </c>
      <c r="I20" t="s">
        <v>127</v>
      </c>
      <c r="J20" t="s">
        <v>128</v>
      </c>
      <c r="K20" t="s">
        <v>129</v>
      </c>
      <c r="L20" t="s">
        <v>20</v>
      </c>
      <c r="M20" t="s">
        <v>130</v>
      </c>
    </row>
    <row r="21" spans="1:13" x14ac:dyDescent="0.25">
      <c r="A21">
        <v>242631</v>
      </c>
      <c r="B21" t="s">
        <v>131</v>
      </c>
      <c r="C21" t="str">
        <f>"9780719062452"</f>
        <v>9780719062452</v>
      </c>
      <c r="D21" t="str">
        <f>"9781847790378"</f>
        <v>9781847790378</v>
      </c>
      <c r="E21" t="s">
        <v>14</v>
      </c>
      <c r="F21" s="1">
        <v>37622</v>
      </c>
      <c r="G21" t="s">
        <v>132</v>
      </c>
      <c r="H21" t="s">
        <v>30</v>
      </c>
      <c r="I21" t="s">
        <v>133</v>
      </c>
      <c r="J21" t="s">
        <v>134</v>
      </c>
      <c r="K21" t="s">
        <v>135</v>
      </c>
      <c r="L21" t="s">
        <v>20</v>
      </c>
      <c r="M21" t="s">
        <v>136</v>
      </c>
    </row>
    <row r="22" spans="1:13" x14ac:dyDescent="0.25">
      <c r="A22">
        <v>242633</v>
      </c>
      <c r="B22" t="s">
        <v>137</v>
      </c>
      <c r="C22" t="str">
        <f>"9780719064289"</f>
        <v>9780719064289</v>
      </c>
      <c r="D22" t="str">
        <f>"9781847790569"</f>
        <v>9781847790569</v>
      </c>
      <c r="E22" t="s">
        <v>14</v>
      </c>
      <c r="F22" s="1">
        <v>37660</v>
      </c>
      <c r="G22" t="s">
        <v>138</v>
      </c>
      <c r="H22" t="s">
        <v>139</v>
      </c>
      <c r="I22" t="s">
        <v>140</v>
      </c>
      <c r="J22" t="s">
        <v>141</v>
      </c>
      <c r="K22" t="s">
        <v>142</v>
      </c>
      <c r="L22" t="s">
        <v>20</v>
      </c>
      <c r="M22" t="s">
        <v>143</v>
      </c>
    </row>
    <row r="23" spans="1:13" x14ac:dyDescent="0.25">
      <c r="A23">
        <v>242634</v>
      </c>
      <c r="B23" t="s">
        <v>144</v>
      </c>
      <c r="C23" t="str">
        <f>"9780719053467"</f>
        <v>9780719053467</v>
      </c>
      <c r="D23" t="str">
        <f>"9781847790316"</f>
        <v>9781847790316</v>
      </c>
      <c r="E23" t="s">
        <v>14</v>
      </c>
      <c r="F23" s="1">
        <v>37728</v>
      </c>
      <c r="G23" t="s">
        <v>145</v>
      </c>
      <c r="H23" t="s">
        <v>146</v>
      </c>
      <c r="I23" t="s">
        <v>147</v>
      </c>
      <c r="J23">
        <v>327.09559999999999</v>
      </c>
      <c r="K23" t="s">
        <v>148</v>
      </c>
      <c r="L23" t="s">
        <v>20</v>
      </c>
      <c r="M23" t="s">
        <v>149</v>
      </c>
    </row>
    <row r="24" spans="1:13" x14ac:dyDescent="0.25">
      <c r="A24">
        <v>242635</v>
      </c>
      <c r="B24" t="s">
        <v>150</v>
      </c>
      <c r="C24" t="str">
        <f>"9780719058936"</f>
        <v>9780719058936</v>
      </c>
      <c r="D24" t="str">
        <f>"9781847790200"</f>
        <v>9781847790200</v>
      </c>
      <c r="E24" t="s">
        <v>14</v>
      </c>
      <c r="F24" s="1">
        <v>37687</v>
      </c>
      <c r="G24" t="s">
        <v>151</v>
      </c>
      <c r="H24" t="s">
        <v>139</v>
      </c>
      <c r="I24" t="s">
        <v>152</v>
      </c>
      <c r="J24" t="s">
        <v>153</v>
      </c>
      <c r="K24" t="s">
        <v>154</v>
      </c>
      <c r="L24" t="s">
        <v>20</v>
      </c>
      <c r="M24" t="s">
        <v>155</v>
      </c>
    </row>
    <row r="25" spans="1:13" x14ac:dyDescent="0.25">
      <c r="A25">
        <v>242636</v>
      </c>
      <c r="B25" t="s">
        <v>156</v>
      </c>
      <c r="C25" t="str">
        <f>"9780719063084"</f>
        <v>9780719063084</v>
      </c>
      <c r="D25" t="str">
        <f>"9781847790385"</f>
        <v>9781847790385</v>
      </c>
      <c r="E25" t="s">
        <v>14</v>
      </c>
      <c r="F25" s="1">
        <v>37870</v>
      </c>
      <c r="G25" t="s">
        <v>157</v>
      </c>
      <c r="H25" t="s">
        <v>30</v>
      </c>
      <c r="I25" t="s">
        <v>158</v>
      </c>
      <c r="J25">
        <v>328.73</v>
      </c>
      <c r="K25" t="s">
        <v>159</v>
      </c>
      <c r="L25" t="s">
        <v>20</v>
      </c>
      <c r="M25" t="s">
        <v>160</v>
      </c>
    </row>
    <row r="26" spans="1:13" x14ac:dyDescent="0.25">
      <c r="A26">
        <v>242637</v>
      </c>
      <c r="B26" t="s">
        <v>161</v>
      </c>
      <c r="C26" t="str">
        <f>"9780719060557"</f>
        <v>9780719060557</v>
      </c>
      <c r="D26" t="str">
        <f>"9781847790132"</f>
        <v>9781847790132</v>
      </c>
      <c r="E26" t="s">
        <v>14</v>
      </c>
      <c r="F26" s="1">
        <v>37540</v>
      </c>
      <c r="G26" t="s">
        <v>162</v>
      </c>
      <c r="H26" t="s">
        <v>163</v>
      </c>
      <c r="I26" t="s">
        <v>164</v>
      </c>
      <c r="J26">
        <v>823.91200000000003</v>
      </c>
      <c r="K26" t="s">
        <v>165</v>
      </c>
      <c r="L26" t="s">
        <v>20</v>
      </c>
      <c r="M26" t="s">
        <v>166</v>
      </c>
    </row>
    <row r="27" spans="1:13" x14ac:dyDescent="0.25">
      <c r="A27">
        <v>242638</v>
      </c>
      <c r="B27" t="s">
        <v>167</v>
      </c>
      <c r="C27" t="str">
        <f>"9780719066023"</f>
        <v>9780719066023</v>
      </c>
      <c r="D27" t="str">
        <f>"9781847790576"</f>
        <v>9781847790576</v>
      </c>
      <c r="E27" t="s">
        <v>14</v>
      </c>
      <c r="F27" s="1">
        <v>37812</v>
      </c>
      <c r="G27" t="s">
        <v>168</v>
      </c>
      <c r="H27" t="s">
        <v>169</v>
      </c>
      <c r="I27" t="s">
        <v>170</v>
      </c>
      <c r="J27">
        <v>330.95042899999999</v>
      </c>
      <c r="K27" t="s">
        <v>171</v>
      </c>
      <c r="L27" t="s">
        <v>20</v>
      </c>
      <c r="M27" t="s">
        <v>172</v>
      </c>
    </row>
    <row r="28" spans="1:13" x14ac:dyDescent="0.25">
      <c r="A28">
        <v>242640</v>
      </c>
      <c r="B28" t="s">
        <v>173</v>
      </c>
      <c r="C28" t="str">
        <f>"9780719063046"</f>
        <v>9780719063046</v>
      </c>
      <c r="D28" t="str">
        <f>"9781847790538"</f>
        <v>9781847790538</v>
      </c>
      <c r="E28" t="s">
        <v>14</v>
      </c>
      <c r="F28" s="1">
        <v>37884</v>
      </c>
      <c r="G28" t="s">
        <v>174</v>
      </c>
      <c r="H28" t="s">
        <v>64</v>
      </c>
      <c r="I28" t="s">
        <v>175</v>
      </c>
      <c r="J28" t="s">
        <v>176</v>
      </c>
      <c r="K28" t="s">
        <v>177</v>
      </c>
      <c r="L28" t="s">
        <v>20</v>
      </c>
      <c r="M28" t="s">
        <v>178</v>
      </c>
    </row>
    <row r="29" spans="1:13" x14ac:dyDescent="0.25">
      <c r="A29">
        <v>242642</v>
      </c>
      <c r="B29" t="s">
        <v>179</v>
      </c>
      <c r="C29" t="str">
        <f>"9780719058493"</f>
        <v>9780719058493</v>
      </c>
      <c r="D29" t="str">
        <f>"9781847790491"</f>
        <v>9781847790491</v>
      </c>
      <c r="E29" t="s">
        <v>14</v>
      </c>
      <c r="F29" s="1">
        <v>37800</v>
      </c>
      <c r="G29" t="s">
        <v>180</v>
      </c>
      <c r="H29" t="s">
        <v>181</v>
      </c>
      <c r="I29" t="s">
        <v>182</v>
      </c>
      <c r="J29" t="s">
        <v>183</v>
      </c>
      <c r="K29" t="s">
        <v>184</v>
      </c>
      <c r="L29" t="s">
        <v>20</v>
      </c>
      <c r="M29" t="s">
        <v>185</v>
      </c>
    </row>
    <row r="30" spans="1:13" x14ac:dyDescent="0.25">
      <c r="A30">
        <v>242643</v>
      </c>
      <c r="B30" t="s">
        <v>186</v>
      </c>
      <c r="C30" t="str">
        <f>"9780719058172"</f>
        <v>9780719058172</v>
      </c>
      <c r="D30" t="str">
        <f>"9781847790125"</f>
        <v>9781847790125</v>
      </c>
      <c r="E30" t="s">
        <v>14</v>
      </c>
      <c r="F30" s="1">
        <v>37581</v>
      </c>
      <c r="G30" t="s">
        <v>187</v>
      </c>
      <c r="H30" t="s">
        <v>70</v>
      </c>
      <c r="I30" t="s">
        <v>188</v>
      </c>
      <c r="J30">
        <v>810.90039999999999</v>
      </c>
      <c r="K30" t="s">
        <v>189</v>
      </c>
      <c r="L30" t="s">
        <v>20</v>
      </c>
      <c r="M30" t="s">
        <v>190</v>
      </c>
    </row>
    <row r="31" spans="1:13" x14ac:dyDescent="0.25">
      <c r="A31">
        <v>242644</v>
      </c>
      <c r="B31" t="s">
        <v>191</v>
      </c>
      <c r="C31" t="str">
        <f>"9780719059087"</f>
        <v>9780719059087</v>
      </c>
      <c r="D31" t="str">
        <f>"9781847790446"</f>
        <v>9781847790446</v>
      </c>
      <c r="E31" t="s">
        <v>14</v>
      </c>
      <c r="F31" s="1">
        <v>37728</v>
      </c>
      <c r="G31" t="s">
        <v>192</v>
      </c>
      <c r="H31" t="s">
        <v>30</v>
      </c>
      <c r="I31" t="s">
        <v>193</v>
      </c>
      <c r="J31" t="s">
        <v>194</v>
      </c>
      <c r="K31" t="s">
        <v>195</v>
      </c>
      <c r="L31" t="s">
        <v>20</v>
      </c>
      <c r="M31" t="s">
        <v>196</v>
      </c>
    </row>
    <row r="32" spans="1:13" x14ac:dyDescent="0.25">
      <c r="A32">
        <v>242646</v>
      </c>
      <c r="B32" t="s">
        <v>197</v>
      </c>
      <c r="C32" t="str">
        <f>"9780719060519"</f>
        <v>9780719060519</v>
      </c>
      <c r="D32" t="str">
        <f>"9781847790347"</f>
        <v>9781847790347</v>
      </c>
      <c r="E32" t="s">
        <v>14</v>
      </c>
      <c r="F32" s="1">
        <v>37835</v>
      </c>
      <c r="G32" t="s">
        <v>198</v>
      </c>
      <c r="H32" t="s">
        <v>70</v>
      </c>
      <c r="I32" t="s">
        <v>199</v>
      </c>
      <c r="J32">
        <v>824.3</v>
      </c>
      <c r="K32" t="s">
        <v>200</v>
      </c>
      <c r="L32" t="s">
        <v>20</v>
      </c>
      <c r="M32" t="s">
        <v>201</v>
      </c>
    </row>
    <row r="33" spans="1:13" x14ac:dyDescent="0.25">
      <c r="A33">
        <v>242647</v>
      </c>
      <c r="B33" t="s">
        <v>202</v>
      </c>
      <c r="C33" t="str">
        <f>"9780719061387"</f>
        <v>9780719061387</v>
      </c>
      <c r="D33" t="str">
        <f>"9781847790354"</f>
        <v>9781847790354</v>
      </c>
      <c r="E33" t="s">
        <v>14</v>
      </c>
      <c r="F33" s="1">
        <v>37749</v>
      </c>
      <c r="G33" t="s">
        <v>203</v>
      </c>
      <c r="H33" t="s">
        <v>16</v>
      </c>
      <c r="I33" t="s">
        <v>204</v>
      </c>
      <c r="J33" t="s">
        <v>205</v>
      </c>
      <c r="K33" t="s">
        <v>206</v>
      </c>
      <c r="L33" t="s">
        <v>20</v>
      </c>
      <c r="M33" t="s">
        <v>207</v>
      </c>
    </row>
    <row r="34" spans="1:13" x14ac:dyDescent="0.25">
      <c r="A34">
        <v>242649</v>
      </c>
      <c r="B34" t="s">
        <v>208</v>
      </c>
      <c r="C34" t="str">
        <f>"9780719062261"</f>
        <v>9780719062261</v>
      </c>
      <c r="D34" t="str">
        <f>"9781847790262"</f>
        <v>9781847790262</v>
      </c>
      <c r="E34" t="s">
        <v>14</v>
      </c>
      <c r="F34" s="1">
        <v>37730</v>
      </c>
      <c r="G34" t="s">
        <v>209</v>
      </c>
      <c r="H34" t="s">
        <v>70</v>
      </c>
      <c r="I34" t="s">
        <v>210</v>
      </c>
      <c r="J34" t="s">
        <v>211</v>
      </c>
      <c r="K34" t="s">
        <v>212</v>
      </c>
      <c r="L34" t="s">
        <v>20</v>
      </c>
      <c r="M34" t="s">
        <v>213</v>
      </c>
    </row>
    <row r="35" spans="1:13" x14ac:dyDescent="0.25">
      <c r="A35">
        <v>242650</v>
      </c>
      <c r="B35" t="s">
        <v>214</v>
      </c>
      <c r="C35" t="str">
        <f>"9780719062308"</f>
        <v>9780719062308</v>
      </c>
      <c r="D35" t="str">
        <f>"9781847790361"</f>
        <v>9781847790361</v>
      </c>
      <c r="E35" t="s">
        <v>14</v>
      </c>
      <c r="F35" s="1">
        <v>37791</v>
      </c>
      <c r="G35" t="s">
        <v>215</v>
      </c>
      <c r="H35" t="s">
        <v>139</v>
      </c>
      <c r="I35" t="s">
        <v>216</v>
      </c>
      <c r="J35">
        <v>941.70824000000005</v>
      </c>
      <c r="K35" t="s">
        <v>217</v>
      </c>
      <c r="L35" t="s">
        <v>20</v>
      </c>
      <c r="M35" t="s">
        <v>218</v>
      </c>
    </row>
    <row r="36" spans="1:13" x14ac:dyDescent="0.25">
      <c r="A36">
        <v>242651</v>
      </c>
      <c r="B36" t="s">
        <v>219</v>
      </c>
      <c r="C36" t="str">
        <f>"9780719062339"</f>
        <v>9780719062339</v>
      </c>
      <c r="D36" t="str">
        <f>"9781847790163"</f>
        <v>9781847790163</v>
      </c>
      <c r="E36" t="s">
        <v>14</v>
      </c>
      <c r="F36" s="1">
        <v>37539</v>
      </c>
      <c r="G36" t="s">
        <v>220</v>
      </c>
      <c r="H36" t="s">
        <v>221</v>
      </c>
      <c r="I36" t="s">
        <v>222</v>
      </c>
      <c r="J36">
        <v>355.03305599999999</v>
      </c>
      <c r="K36" t="s">
        <v>223</v>
      </c>
      <c r="L36" t="s">
        <v>20</v>
      </c>
      <c r="M36" t="s">
        <v>224</v>
      </c>
    </row>
    <row r="37" spans="1:13" x14ac:dyDescent="0.25">
      <c r="A37">
        <v>242652</v>
      </c>
      <c r="B37" t="s">
        <v>225</v>
      </c>
      <c r="C37" t="str">
        <f>"9780719062407"</f>
        <v>9780719062407</v>
      </c>
      <c r="D37" t="str">
        <f>"9781847790170"</f>
        <v>9781847790170</v>
      </c>
      <c r="E37" t="s">
        <v>14</v>
      </c>
      <c r="F37" s="1">
        <v>37476</v>
      </c>
      <c r="G37" t="s">
        <v>226</v>
      </c>
      <c r="H37" t="s">
        <v>139</v>
      </c>
      <c r="I37" t="s">
        <v>227</v>
      </c>
      <c r="J37">
        <v>949.70299999999997</v>
      </c>
      <c r="K37" t="s">
        <v>228</v>
      </c>
      <c r="L37" t="s">
        <v>20</v>
      </c>
      <c r="M37" t="s">
        <v>229</v>
      </c>
    </row>
    <row r="38" spans="1:13" x14ac:dyDescent="0.25">
      <c r="A38">
        <v>242653</v>
      </c>
      <c r="B38" t="s">
        <v>230</v>
      </c>
      <c r="C38" t="str">
        <f>"9780719062414"</f>
        <v>9780719062414</v>
      </c>
      <c r="D38" t="str">
        <f>"9781847790460"</f>
        <v>9781847790460</v>
      </c>
      <c r="E38" t="s">
        <v>14</v>
      </c>
      <c r="F38" s="1">
        <v>37622</v>
      </c>
      <c r="G38" t="s">
        <v>231</v>
      </c>
      <c r="H38" t="s">
        <v>232</v>
      </c>
      <c r="I38" t="s">
        <v>233</v>
      </c>
      <c r="J38" t="s">
        <v>234</v>
      </c>
      <c r="K38" t="s">
        <v>235</v>
      </c>
      <c r="L38" t="s">
        <v>20</v>
      </c>
      <c r="M38" t="s">
        <v>236</v>
      </c>
    </row>
    <row r="39" spans="1:13" x14ac:dyDescent="0.25">
      <c r="A39">
        <v>242655</v>
      </c>
      <c r="B39" t="s">
        <v>237</v>
      </c>
      <c r="C39" t="str">
        <f>"9780719063428"</f>
        <v>9780719063428</v>
      </c>
      <c r="D39" t="str">
        <f>"9781847790224"</f>
        <v>9781847790224</v>
      </c>
      <c r="E39" t="s">
        <v>14</v>
      </c>
      <c r="F39" s="1">
        <v>37800</v>
      </c>
      <c r="G39" t="s">
        <v>238</v>
      </c>
      <c r="H39" t="s">
        <v>239</v>
      </c>
      <c r="I39" t="s">
        <v>240</v>
      </c>
      <c r="J39" t="s">
        <v>241</v>
      </c>
      <c r="K39" t="s">
        <v>242</v>
      </c>
      <c r="L39" t="s">
        <v>20</v>
      </c>
      <c r="M39" t="s">
        <v>243</v>
      </c>
    </row>
    <row r="40" spans="1:13" x14ac:dyDescent="0.25">
      <c r="A40">
        <v>242656</v>
      </c>
      <c r="B40" t="s">
        <v>244</v>
      </c>
      <c r="C40" t="str">
        <f>"9780719063749"</f>
        <v>9780719063749</v>
      </c>
      <c r="D40" t="str">
        <f>"9781847790408"</f>
        <v>9781847790408</v>
      </c>
      <c r="E40" t="s">
        <v>14</v>
      </c>
      <c r="F40" s="1">
        <v>37728</v>
      </c>
      <c r="G40" t="s">
        <v>245</v>
      </c>
      <c r="H40" t="s">
        <v>246</v>
      </c>
      <c r="I40" t="s">
        <v>247</v>
      </c>
      <c r="J40" t="s">
        <v>248</v>
      </c>
      <c r="K40" t="s">
        <v>249</v>
      </c>
      <c r="L40" t="s">
        <v>20</v>
      </c>
      <c r="M40" t="s">
        <v>250</v>
      </c>
    </row>
    <row r="41" spans="1:13" x14ac:dyDescent="0.25">
      <c r="A41">
        <v>242657</v>
      </c>
      <c r="B41" t="s">
        <v>251</v>
      </c>
      <c r="C41" t="str">
        <f>"9780719064869"</f>
        <v>9780719064869</v>
      </c>
      <c r="D41" t="str">
        <f>"9781847790231"</f>
        <v>9781847790231</v>
      </c>
      <c r="E41" t="s">
        <v>14</v>
      </c>
      <c r="F41" s="1">
        <v>37707</v>
      </c>
      <c r="G41" t="s">
        <v>252</v>
      </c>
      <c r="H41" t="s">
        <v>239</v>
      </c>
      <c r="I41" t="s">
        <v>253</v>
      </c>
      <c r="J41" t="s">
        <v>254</v>
      </c>
      <c r="K41" t="s">
        <v>255</v>
      </c>
      <c r="L41" t="s">
        <v>20</v>
      </c>
      <c r="M41" t="s">
        <v>256</v>
      </c>
    </row>
    <row r="42" spans="1:13" x14ac:dyDescent="0.25">
      <c r="A42">
        <v>242658</v>
      </c>
      <c r="B42" t="s">
        <v>257</v>
      </c>
      <c r="C42" t="str">
        <f>"9780719064883"</f>
        <v>9780719064883</v>
      </c>
      <c r="D42" t="str">
        <f>"9781847790309"</f>
        <v>9781847790309</v>
      </c>
      <c r="E42" t="s">
        <v>14</v>
      </c>
      <c r="F42" s="1">
        <v>37800</v>
      </c>
      <c r="G42" t="s">
        <v>258</v>
      </c>
      <c r="H42" t="s">
        <v>246</v>
      </c>
      <c r="I42" t="s">
        <v>259</v>
      </c>
      <c r="J42" t="s">
        <v>260</v>
      </c>
      <c r="K42" t="s">
        <v>261</v>
      </c>
      <c r="L42" t="s">
        <v>20</v>
      </c>
      <c r="M42" t="s">
        <v>262</v>
      </c>
    </row>
    <row r="43" spans="1:13" x14ac:dyDescent="0.25">
      <c r="A43">
        <v>361675</v>
      </c>
      <c r="B43" t="s">
        <v>263</v>
      </c>
      <c r="C43" t="str">
        <f>"9780813543635"</f>
        <v>9780813543635</v>
      </c>
      <c r="D43" t="str">
        <f>"9780813545608"</f>
        <v>9780813545608</v>
      </c>
      <c r="E43" t="s">
        <v>264</v>
      </c>
      <c r="F43" s="1">
        <v>39700</v>
      </c>
      <c r="G43" t="s">
        <v>265</v>
      </c>
      <c r="H43" t="s">
        <v>266</v>
      </c>
      <c r="I43" t="s">
        <v>267</v>
      </c>
      <c r="J43">
        <v>618.32075429999998</v>
      </c>
      <c r="L43" t="s">
        <v>20</v>
      </c>
      <c r="M43" t="s">
        <v>268</v>
      </c>
    </row>
    <row r="44" spans="1:13" x14ac:dyDescent="0.25">
      <c r="A44">
        <v>364700</v>
      </c>
      <c r="B44" t="s">
        <v>269</v>
      </c>
      <c r="C44" t="str">
        <f>"9783598220388"</f>
        <v>9783598220388</v>
      </c>
      <c r="D44" t="str">
        <f>"9783598440953"</f>
        <v>9783598440953</v>
      </c>
      <c r="E44" t="s">
        <v>270</v>
      </c>
      <c r="F44" s="1">
        <v>39588</v>
      </c>
      <c r="G44" t="s">
        <v>271</v>
      </c>
      <c r="H44" t="s">
        <v>272</v>
      </c>
      <c r="I44" t="s">
        <v>273</v>
      </c>
      <c r="J44">
        <v>25.040917239999999</v>
      </c>
      <c r="K44" t="s">
        <v>274</v>
      </c>
      <c r="L44" t="s">
        <v>20</v>
      </c>
      <c r="M44" t="s">
        <v>275</v>
      </c>
    </row>
    <row r="45" spans="1:13" x14ac:dyDescent="0.25">
      <c r="A45">
        <v>370720</v>
      </c>
      <c r="B45" t="s">
        <v>276</v>
      </c>
      <c r="C45" t="str">
        <f>"9783598220333"</f>
        <v>9783598220333</v>
      </c>
      <c r="D45" t="str">
        <f>"9783598440281"</f>
        <v>9783598440281</v>
      </c>
      <c r="E45" t="s">
        <v>270</v>
      </c>
      <c r="F45" s="1">
        <v>39308</v>
      </c>
      <c r="G45" t="s">
        <v>277</v>
      </c>
      <c r="H45" t="s">
        <v>272</v>
      </c>
      <c r="I45" t="s">
        <v>278</v>
      </c>
      <c r="J45">
        <v>27.7</v>
      </c>
      <c r="K45" t="s">
        <v>279</v>
      </c>
      <c r="L45" t="s">
        <v>20</v>
      </c>
      <c r="M45" t="s">
        <v>280</v>
      </c>
    </row>
    <row r="46" spans="1:13" x14ac:dyDescent="0.25">
      <c r="A46">
        <v>429245</v>
      </c>
      <c r="B46" t="s">
        <v>281</v>
      </c>
      <c r="C46" t="str">
        <f>"9783598220401"</f>
        <v>9783598220401</v>
      </c>
      <c r="D46" t="str">
        <f>"9783598441257"</f>
        <v>9783598441257</v>
      </c>
      <c r="E46" t="s">
        <v>270</v>
      </c>
      <c r="F46" s="1">
        <v>39801</v>
      </c>
      <c r="G46" t="s">
        <v>282</v>
      </c>
      <c r="H46" t="s">
        <v>272</v>
      </c>
      <c r="I46" t="s">
        <v>283</v>
      </c>
      <c r="J46">
        <v>20.96</v>
      </c>
      <c r="K46" t="s">
        <v>284</v>
      </c>
      <c r="L46" t="s">
        <v>20</v>
      </c>
      <c r="M46" t="s">
        <v>285</v>
      </c>
    </row>
    <row r="47" spans="1:13" x14ac:dyDescent="0.25">
      <c r="A47">
        <v>429396</v>
      </c>
      <c r="B47" t="s">
        <v>286</v>
      </c>
      <c r="C47" t="str">
        <f>"9783110205411"</f>
        <v>9783110205411</v>
      </c>
      <c r="D47" t="str">
        <f>"9783110210330"</f>
        <v>9783110210330</v>
      </c>
      <c r="E47" t="s">
        <v>270</v>
      </c>
      <c r="F47" s="1">
        <v>39741</v>
      </c>
      <c r="G47" t="s">
        <v>287</v>
      </c>
      <c r="H47" t="s">
        <v>288</v>
      </c>
      <c r="I47" t="s">
        <v>289</v>
      </c>
      <c r="J47">
        <v>210</v>
      </c>
      <c r="K47" t="s">
        <v>290</v>
      </c>
      <c r="L47" t="s">
        <v>291</v>
      </c>
      <c r="M47" t="s">
        <v>292</v>
      </c>
    </row>
    <row r="48" spans="1:13" x14ac:dyDescent="0.25">
      <c r="A48">
        <v>429425</v>
      </c>
      <c r="B48" t="s">
        <v>293</v>
      </c>
      <c r="C48" t="str">
        <f>"9783110202960"</f>
        <v>9783110202960</v>
      </c>
      <c r="D48" t="str">
        <f>"9783110210682"</f>
        <v>9783110210682</v>
      </c>
      <c r="E48" t="s">
        <v>270</v>
      </c>
      <c r="F48" s="1">
        <v>39741</v>
      </c>
      <c r="G48" t="s">
        <v>294</v>
      </c>
      <c r="H48" t="s">
        <v>64</v>
      </c>
      <c r="I48" t="s">
        <v>295</v>
      </c>
      <c r="J48">
        <v>306.87700000000001</v>
      </c>
      <c r="K48" t="s">
        <v>296</v>
      </c>
      <c r="L48" t="s">
        <v>291</v>
      </c>
      <c r="M48" t="s">
        <v>297</v>
      </c>
    </row>
    <row r="49" spans="1:13" x14ac:dyDescent="0.25">
      <c r="A49">
        <v>453791</v>
      </c>
      <c r="B49" t="s">
        <v>298</v>
      </c>
      <c r="C49" t="str">
        <f>"9783598220425"</f>
        <v>9783598220425</v>
      </c>
      <c r="D49" t="str">
        <f>"9783598441349"</f>
        <v>9783598441349</v>
      </c>
      <c r="E49" t="s">
        <v>270</v>
      </c>
      <c r="F49" s="1">
        <v>39923</v>
      </c>
      <c r="G49" t="s">
        <v>299</v>
      </c>
      <c r="H49" t="s">
        <v>272</v>
      </c>
      <c r="I49" t="s">
        <v>300</v>
      </c>
      <c r="J49">
        <v>27</v>
      </c>
      <c r="K49" t="s">
        <v>301</v>
      </c>
      <c r="L49" t="s">
        <v>20</v>
      </c>
      <c r="M49" t="s">
        <v>302</v>
      </c>
    </row>
    <row r="50" spans="1:13" x14ac:dyDescent="0.25">
      <c r="A50">
        <v>453858</v>
      </c>
      <c r="B50" t="s">
        <v>303</v>
      </c>
      <c r="C50" t="str">
        <f>"9783598220432"</f>
        <v>9783598220432</v>
      </c>
      <c r="D50" t="str">
        <f>"9783598441677"</f>
        <v>9783598441677</v>
      </c>
      <c r="E50" t="s">
        <v>270</v>
      </c>
      <c r="F50" s="1">
        <v>39923</v>
      </c>
      <c r="G50" t="s">
        <v>304</v>
      </c>
      <c r="H50" t="s">
        <v>272</v>
      </c>
      <c r="I50" t="s">
        <v>305</v>
      </c>
      <c r="J50">
        <v>20.21</v>
      </c>
      <c r="K50" t="s">
        <v>306</v>
      </c>
      <c r="L50" t="s">
        <v>20</v>
      </c>
      <c r="M50" t="s">
        <v>307</v>
      </c>
    </row>
    <row r="51" spans="1:13" x14ac:dyDescent="0.25">
      <c r="A51">
        <v>453870</v>
      </c>
      <c r="B51" t="s">
        <v>308</v>
      </c>
      <c r="C51" t="str">
        <f>"9783110203639"</f>
        <v>9783110203639</v>
      </c>
      <c r="D51" t="str">
        <f>"9783110216615"</f>
        <v>9783110216615</v>
      </c>
      <c r="E51" t="s">
        <v>270</v>
      </c>
      <c r="F51" s="1">
        <v>39981</v>
      </c>
      <c r="G51" t="s">
        <v>309</v>
      </c>
      <c r="H51" t="s">
        <v>310</v>
      </c>
      <c r="I51" t="s">
        <v>311</v>
      </c>
      <c r="J51">
        <v>230.20920000000001</v>
      </c>
      <c r="K51" t="s">
        <v>312</v>
      </c>
      <c r="L51" t="s">
        <v>291</v>
      </c>
      <c r="M51" t="s">
        <v>313</v>
      </c>
    </row>
    <row r="52" spans="1:13" x14ac:dyDescent="0.25">
      <c r="A52">
        <v>453986</v>
      </c>
      <c r="B52" t="s">
        <v>314</v>
      </c>
      <c r="C52" t="str">
        <f>"9783598220449"</f>
        <v>9783598220449</v>
      </c>
      <c r="D52" t="str">
        <f>"9783598441776"</f>
        <v>9783598441776</v>
      </c>
      <c r="E52" t="s">
        <v>270</v>
      </c>
      <c r="F52" s="1">
        <v>40023</v>
      </c>
      <c r="G52" t="s">
        <v>315</v>
      </c>
      <c r="H52" t="s">
        <v>272</v>
      </c>
      <c r="I52" t="s">
        <v>316</v>
      </c>
      <c r="J52">
        <v>20</v>
      </c>
      <c r="K52" t="s">
        <v>317</v>
      </c>
      <c r="L52" t="s">
        <v>20</v>
      </c>
      <c r="M52" t="s">
        <v>318</v>
      </c>
    </row>
    <row r="53" spans="1:13" x14ac:dyDescent="0.25">
      <c r="A53">
        <v>511791</v>
      </c>
      <c r="B53" t="s">
        <v>319</v>
      </c>
      <c r="C53" t="str">
        <f>"9783110206463"</f>
        <v>9783110206463</v>
      </c>
      <c r="D53" t="str">
        <f>"9783110216585"</f>
        <v>9783110216585</v>
      </c>
      <c r="E53" t="s">
        <v>270</v>
      </c>
      <c r="F53" s="1">
        <v>40162</v>
      </c>
      <c r="G53" t="s">
        <v>320</v>
      </c>
      <c r="H53" t="s">
        <v>139</v>
      </c>
      <c r="I53" t="s">
        <v>321</v>
      </c>
      <c r="J53">
        <v>949.5</v>
      </c>
      <c r="K53" t="s">
        <v>322</v>
      </c>
      <c r="L53" t="s">
        <v>291</v>
      </c>
      <c r="M53" t="s">
        <v>323</v>
      </c>
    </row>
    <row r="54" spans="1:13" x14ac:dyDescent="0.25">
      <c r="A54">
        <v>511812</v>
      </c>
      <c r="B54" t="s">
        <v>324</v>
      </c>
      <c r="C54" t="str">
        <f>"9783598251238"</f>
        <v>9783598251238</v>
      </c>
      <c r="D54" t="str">
        <f>"9783598441363"</f>
        <v>9783598441363</v>
      </c>
      <c r="E54" t="s">
        <v>270</v>
      </c>
      <c r="F54" s="1">
        <v>40072</v>
      </c>
      <c r="G54" t="s">
        <v>325</v>
      </c>
      <c r="H54" t="s">
        <v>139</v>
      </c>
      <c r="I54" t="s">
        <v>326</v>
      </c>
      <c r="J54">
        <v>943.3</v>
      </c>
      <c r="K54" t="s">
        <v>327</v>
      </c>
      <c r="L54" t="s">
        <v>291</v>
      </c>
      <c r="M54" t="s">
        <v>328</v>
      </c>
    </row>
    <row r="55" spans="1:13" x14ac:dyDescent="0.25">
      <c r="A55">
        <v>511856</v>
      </c>
      <c r="B55" t="s">
        <v>329</v>
      </c>
      <c r="C55" t="str">
        <f>"9783598220456"</f>
        <v>9783598220456</v>
      </c>
      <c r="D55" t="str">
        <f>"9783598441783"</f>
        <v>9783598441783</v>
      </c>
      <c r="E55" t="s">
        <v>270</v>
      </c>
      <c r="F55" s="1">
        <v>40161</v>
      </c>
      <c r="G55" t="s">
        <v>330</v>
      </c>
      <c r="H55" t="s">
        <v>272</v>
      </c>
      <c r="I55" t="s">
        <v>331</v>
      </c>
      <c r="J55">
        <v>27.65</v>
      </c>
      <c r="K55" t="s">
        <v>332</v>
      </c>
      <c r="L55" t="s">
        <v>20</v>
      </c>
      <c r="M55" t="s">
        <v>333</v>
      </c>
    </row>
    <row r="56" spans="1:13" x14ac:dyDescent="0.25">
      <c r="A56">
        <v>516519</v>
      </c>
      <c r="B56" t="s">
        <v>334</v>
      </c>
      <c r="C56" t="str">
        <f>"9783598220463"</f>
        <v>9783598220463</v>
      </c>
      <c r="D56" t="str">
        <f>"9783598441790"</f>
        <v>9783598441790</v>
      </c>
      <c r="E56" t="s">
        <v>270</v>
      </c>
      <c r="F56" s="1">
        <v>40263</v>
      </c>
      <c r="G56" t="s">
        <v>335</v>
      </c>
      <c r="H56" t="s">
        <v>246</v>
      </c>
      <c r="I56" t="s">
        <v>336</v>
      </c>
      <c r="J56">
        <v>745.61995100000001</v>
      </c>
      <c r="K56" t="s">
        <v>337</v>
      </c>
      <c r="L56" t="s">
        <v>20</v>
      </c>
      <c r="M56" t="s">
        <v>338</v>
      </c>
    </row>
    <row r="57" spans="1:13" x14ac:dyDescent="0.25">
      <c r="A57">
        <v>533665</v>
      </c>
      <c r="B57" t="s">
        <v>339</v>
      </c>
      <c r="C57" t="str">
        <f>"9783110200560"</f>
        <v>9783110200560</v>
      </c>
      <c r="D57" t="str">
        <f>"9783110210606"</f>
        <v>9783110210606</v>
      </c>
      <c r="E57" t="s">
        <v>270</v>
      </c>
      <c r="F57" s="1">
        <v>40287</v>
      </c>
      <c r="G57" t="s">
        <v>340</v>
      </c>
      <c r="H57" t="s">
        <v>310</v>
      </c>
      <c r="I57" t="s">
        <v>341</v>
      </c>
      <c r="J57">
        <v>270</v>
      </c>
      <c r="K57" t="s">
        <v>342</v>
      </c>
      <c r="L57" t="s">
        <v>291</v>
      </c>
      <c r="M57" t="s">
        <v>343</v>
      </c>
    </row>
    <row r="58" spans="1:13" x14ac:dyDescent="0.25">
      <c r="A58">
        <v>548102</v>
      </c>
      <c r="B58" t="s">
        <v>344</v>
      </c>
      <c r="C58" t="str">
        <f>"9783598251269"</f>
        <v>9783598251269</v>
      </c>
      <c r="D58" t="str">
        <f>"9783110232356"</f>
        <v>9783110232356</v>
      </c>
      <c r="E58" t="s">
        <v>270</v>
      </c>
      <c r="F58" s="1">
        <v>40317</v>
      </c>
      <c r="G58" t="s">
        <v>345</v>
      </c>
      <c r="H58" t="s">
        <v>139</v>
      </c>
      <c r="I58" t="s">
        <v>346</v>
      </c>
      <c r="J58">
        <v>943.3</v>
      </c>
      <c r="K58" t="s">
        <v>347</v>
      </c>
      <c r="L58" t="s">
        <v>291</v>
      </c>
      <c r="M58" t="s">
        <v>348</v>
      </c>
    </row>
    <row r="59" spans="1:13" x14ac:dyDescent="0.25">
      <c r="A59">
        <v>555752</v>
      </c>
      <c r="B59" t="s">
        <v>349</v>
      </c>
      <c r="C59" t="str">
        <f>"9783110232141"</f>
        <v>9783110232141</v>
      </c>
      <c r="D59" t="str">
        <f>"9783110232158"</f>
        <v>9783110232158</v>
      </c>
      <c r="E59" t="s">
        <v>350</v>
      </c>
      <c r="F59" s="1">
        <v>40357</v>
      </c>
      <c r="G59" t="s">
        <v>351</v>
      </c>
      <c r="H59" t="s">
        <v>272</v>
      </c>
      <c r="I59" t="s">
        <v>352</v>
      </c>
      <c r="J59">
        <v>26.3</v>
      </c>
      <c r="K59" t="s">
        <v>353</v>
      </c>
      <c r="L59" t="s">
        <v>20</v>
      </c>
      <c r="M59" t="s">
        <v>354</v>
      </c>
    </row>
    <row r="60" spans="1:13" x14ac:dyDescent="0.25">
      <c r="A60">
        <v>570584</v>
      </c>
      <c r="B60" t="s">
        <v>355</v>
      </c>
      <c r="C60" t="str">
        <f>"9783110232264"</f>
        <v>9783110232264</v>
      </c>
      <c r="D60" t="str">
        <f>"9783110232271"</f>
        <v>9783110232271</v>
      </c>
      <c r="E60" t="s">
        <v>350</v>
      </c>
      <c r="F60" s="1">
        <v>40375</v>
      </c>
      <c r="G60" t="s">
        <v>356</v>
      </c>
      <c r="H60" t="s">
        <v>357</v>
      </c>
      <c r="I60" t="s">
        <v>358</v>
      </c>
      <c r="J60">
        <v>27.4</v>
      </c>
      <c r="K60" t="s">
        <v>359</v>
      </c>
      <c r="L60" t="s">
        <v>20</v>
      </c>
      <c r="M60" t="s">
        <v>360</v>
      </c>
    </row>
    <row r="61" spans="1:13" x14ac:dyDescent="0.25">
      <c r="A61">
        <v>589292</v>
      </c>
      <c r="B61" t="s">
        <v>361</v>
      </c>
      <c r="C61" t="str">
        <f>"9780719062421"</f>
        <v>9780719062421</v>
      </c>
      <c r="D61" t="str">
        <f>"9781847791252"</f>
        <v>9781847791252</v>
      </c>
      <c r="E61" t="s">
        <v>14</v>
      </c>
      <c r="F61" s="1">
        <v>38050</v>
      </c>
      <c r="G61" t="s">
        <v>362</v>
      </c>
      <c r="H61" t="s">
        <v>363</v>
      </c>
      <c r="I61" t="s">
        <v>364</v>
      </c>
      <c r="J61" t="s">
        <v>365</v>
      </c>
      <c r="K61" t="s">
        <v>366</v>
      </c>
      <c r="L61" t="s">
        <v>20</v>
      </c>
      <c r="M61" t="s">
        <v>367</v>
      </c>
    </row>
    <row r="62" spans="1:13" x14ac:dyDescent="0.25">
      <c r="A62">
        <v>589293</v>
      </c>
      <c r="B62" t="s">
        <v>368</v>
      </c>
      <c r="C62" t="str">
        <f>"9780719066948"</f>
        <v>9780719066948</v>
      </c>
      <c r="D62" t="str">
        <f>"9781847791016"</f>
        <v>9781847791016</v>
      </c>
      <c r="E62" t="s">
        <v>14</v>
      </c>
      <c r="F62" s="1">
        <v>38267</v>
      </c>
      <c r="G62" t="s">
        <v>369</v>
      </c>
      <c r="H62" t="s">
        <v>370</v>
      </c>
      <c r="I62" t="s">
        <v>371</v>
      </c>
      <c r="J62">
        <v>335.83</v>
      </c>
      <c r="K62" t="s">
        <v>372</v>
      </c>
      <c r="L62" t="s">
        <v>20</v>
      </c>
      <c r="M62" t="s">
        <v>373</v>
      </c>
    </row>
    <row r="63" spans="1:13" x14ac:dyDescent="0.25">
      <c r="A63">
        <v>589294</v>
      </c>
      <c r="B63" t="s">
        <v>374</v>
      </c>
      <c r="C63" t="str">
        <f>"9780719061516"</f>
        <v>9780719061516</v>
      </c>
      <c r="D63" t="str">
        <f>"9781847790651"</f>
        <v>9781847790651</v>
      </c>
      <c r="E63" t="s">
        <v>14</v>
      </c>
      <c r="F63" s="1">
        <v>37833</v>
      </c>
      <c r="G63" t="s">
        <v>375</v>
      </c>
      <c r="H63" t="s">
        <v>30</v>
      </c>
      <c r="I63" t="s">
        <v>376</v>
      </c>
      <c r="J63">
        <v>320.5</v>
      </c>
      <c r="K63" t="s">
        <v>377</v>
      </c>
      <c r="L63" t="s">
        <v>20</v>
      </c>
      <c r="M63" t="s">
        <v>378</v>
      </c>
    </row>
    <row r="64" spans="1:13" x14ac:dyDescent="0.25">
      <c r="A64">
        <v>589295</v>
      </c>
      <c r="B64" t="s">
        <v>379</v>
      </c>
      <c r="C64" t="str">
        <f>"9780719060014"</f>
        <v>9780719060014</v>
      </c>
      <c r="D64" t="str">
        <f>"9781847790965"</f>
        <v>9781847790965</v>
      </c>
      <c r="E64" t="s">
        <v>14</v>
      </c>
      <c r="F64" s="1">
        <v>38246</v>
      </c>
      <c r="G64" t="s">
        <v>380</v>
      </c>
      <c r="H64" t="s">
        <v>30</v>
      </c>
      <c r="I64" t="s">
        <v>381</v>
      </c>
      <c r="J64">
        <v>327.39999999999998</v>
      </c>
      <c r="K64" t="s">
        <v>382</v>
      </c>
      <c r="L64" t="s">
        <v>20</v>
      </c>
      <c r="M64" t="s">
        <v>383</v>
      </c>
    </row>
    <row r="65" spans="1:13" x14ac:dyDescent="0.25">
      <c r="A65">
        <v>589296</v>
      </c>
      <c r="B65" t="s">
        <v>384</v>
      </c>
      <c r="C65" t="str">
        <f>"9780719066580"</f>
        <v>9780719066580</v>
      </c>
      <c r="D65" t="str">
        <f>"9781847790996"</f>
        <v>9781847790996</v>
      </c>
      <c r="E65" t="s">
        <v>14</v>
      </c>
      <c r="F65" s="1">
        <v>38246</v>
      </c>
      <c r="G65" t="s">
        <v>385</v>
      </c>
      <c r="H65" t="s">
        <v>16</v>
      </c>
      <c r="I65" t="s">
        <v>386</v>
      </c>
      <c r="J65">
        <v>133.4309409034</v>
      </c>
      <c r="K65" t="s">
        <v>387</v>
      </c>
      <c r="L65" t="s">
        <v>20</v>
      </c>
      <c r="M65" t="s">
        <v>388</v>
      </c>
    </row>
    <row r="66" spans="1:13" x14ac:dyDescent="0.25">
      <c r="A66">
        <v>589298</v>
      </c>
      <c r="B66" t="s">
        <v>389</v>
      </c>
      <c r="C66" t="str">
        <f>"9780719062988"</f>
        <v>9780719062988</v>
      </c>
      <c r="D66" t="str">
        <f>"9781847790705"</f>
        <v>9781847790705</v>
      </c>
      <c r="E66" t="s">
        <v>14</v>
      </c>
      <c r="F66" s="1">
        <v>38094</v>
      </c>
      <c r="G66" t="s">
        <v>390</v>
      </c>
      <c r="H66" t="s">
        <v>169</v>
      </c>
      <c r="I66" t="s">
        <v>391</v>
      </c>
      <c r="J66" t="s">
        <v>392</v>
      </c>
      <c r="K66" t="s">
        <v>393</v>
      </c>
      <c r="L66" t="s">
        <v>20</v>
      </c>
      <c r="M66" t="s">
        <v>394</v>
      </c>
    </row>
    <row r="67" spans="1:13" x14ac:dyDescent="0.25">
      <c r="A67">
        <v>589299</v>
      </c>
      <c r="B67" t="s">
        <v>395</v>
      </c>
      <c r="C67" t="str">
        <f>"9780719067181"</f>
        <v>9780719067181</v>
      </c>
      <c r="D67" t="str">
        <f>"9781847790880"</f>
        <v>9781847790880</v>
      </c>
      <c r="E67" t="s">
        <v>14</v>
      </c>
      <c r="F67" s="1">
        <v>37938</v>
      </c>
      <c r="G67" t="s">
        <v>396</v>
      </c>
      <c r="H67" t="s">
        <v>30</v>
      </c>
      <c r="I67" t="s">
        <v>397</v>
      </c>
      <c r="J67">
        <v>324.24106999999998</v>
      </c>
      <c r="K67" t="s">
        <v>398</v>
      </c>
      <c r="L67" t="s">
        <v>20</v>
      </c>
      <c r="M67" t="s">
        <v>399</v>
      </c>
    </row>
    <row r="68" spans="1:13" x14ac:dyDescent="0.25">
      <c r="A68">
        <v>589300</v>
      </c>
      <c r="B68" t="s">
        <v>400</v>
      </c>
      <c r="C68" t="str">
        <f>"9780719060038"</f>
        <v>9780719060038</v>
      </c>
      <c r="D68" t="str">
        <f>"9781847790606"</f>
        <v>9781847790606</v>
      </c>
      <c r="E68" t="s">
        <v>14</v>
      </c>
      <c r="F68" s="1">
        <v>37933</v>
      </c>
      <c r="G68" t="s">
        <v>401</v>
      </c>
      <c r="H68" t="s">
        <v>30</v>
      </c>
      <c r="I68" t="s">
        <v>402</v>
      </c>
      <c r="J68" t="s">
        <v>403</v>
      </c>
      <c r="K68" t="s">
        <v>404</v>
      </c>
      <c r="L68" t="s">
        <v>20</v>
      </c>
      <c r="M68" t="s">
        <v>405</v>
      </c>
    </row>
    <row r="69" spans="1:13" x14ac:dyDescent="0.25">
      <c r="A69">
        <v>589301</v>
      </c>
      <c r="B69" t="s">
        <v>406</v>
      </c>
      <c r="C69" t="str">
        <f>"9780719066047"</f>
        <v>9780719066047</v>
      </c>
      <c r="D69" t="str">
        <f>"9781847790866"</f>
        <v>9781847790866</v>
      </c>
      <c r="E69" t="s">
        <v>14</v>
      </c>
      <c r="F69" s="1">
        <v>37812</v>
      </c>
      <c r="G69" t="s">
        <v>407</v>
      </c>
      <c r="H69" t="s">
        <v>408</v>
      </c>
      <c r="I69" t="s">
        <v>409</v>
      </c>
      <c r="J69" t="s">
        <v>410</v>
      </c>
      <c r="K69" t="s">
        <v>411</v>
      </c>
      <c r="L69" t="s">
        <v>20</v>
      </c>
      <c r="M69" t="s">
        <v>412</v>
      </c>
    </row>
    <row r="70" spans="1:13" x14ac:dyDescent="0.25">
      <c r="A70">
        <v>589302</v>
      </c>
      <c r="B70" t="s">
        <v>413</v>
      </c>
      <c r="C70" t="str">
        <f>"9780719061042"</f>
        <v>9780719061042</v>
      </c>
      <c r="D70" t="str">
        <f>"9781847790620"</f>
        <v>9781847790620</v>
      </c>
      <c r="E70" t="s">
        <v>14</v>
      </c>
      <c r="F70" s="1">
        <v>37379</v>
      </c>
      <c r="G70" t="s">
        <v>414</v>
      </c>
      <c r="H70" t="s">
        <v>310</v>
      </c>
      <c r="I70" t="s">
        <v>415</v>
      </c>
      <c r="J70" t="s">
        <v>416</v>
      </c>
      <c r="K70" t="s">
        <v>417</v>
      </c>
      <c r="L70" t="s">
        <v>20</v>
      </c>
      <c r="M70" t="s">
        <v>418</v>
      </c>
    </row>
    <row r="71" spans="1:13" x14ac:dyDescent="0.25">
      <c r="A71">
        <v>589303</v>
      </c>
      <c r="B71" t="s">
        <v>419</v>
      </c>
      <c r="C71" t="str">
        <f>"9780719061592"</f>
        <v>9780719061592</v>
      </c>
      <c r="D71" t="str">
        <f>"9781847790668"</f>
        <v>9781847790668</v>
      </c>
      <c r="E71" t="s">
        <v>14</v>
      </c>
      <c r="F71" s="1">
        <v>37933</v>
      </c>
      <c r="G71" t="s">
        <v>420</v>
      </c>
      <c r="H71" t="s">
        <v>126</v>
      </c>
      <c r="I71" t="s">
        <v>421</v>
      </c>
      <c r="J71">
        <v>305.56909419999999</v>
      </c>
      <c r="K71" t="s">
        <v>422</v>
      </c>
      <c r="L71" t="s">
        <v>20</v>
      </c>
      <c r="M71" t="s">
        <v>423</v>
      </c>
    </row>
    <row r="72" spans="1:13" x14ac:dyDescent="0.25">
      <c r="A72">
        <v>589304</v>
      </c>
      <c r="B72" t="s">
        <v>424</v>
      </c>
      <c r="C72" t="str">
        <f>"9780719059797"</f>
        <v>9780719059797</v>
      </c>
      <c r="D72" t="str">
        <f>"9781847791283"</f>
        <v>9781847791283</v>
      </c>
      <c r="E72" t="s">
        <v>14</v>
      </c>
      <c r="F72" s="1">
        <v>37918</v>
      </c>
      <c r="G72" t="s">
        <v>425</v>
      </c>
      <c r="H72" t="s">
        <v>139</v>
      </c>
      <c r="I72" t="s">
        <v>426</v>
      </c>
      <c r="J72">
        <v>949.71029999999996</v>
      </c>
      <c r="K72" t="s">
        <v>427</v>
      </c>
      <c r="L72" t="s">
        <v>20</v>
      </c>
      <c r="M72" t="s">
        <v>428</v>
      </c>
    </row>
    <row r="73" spans="1:13" x14ac:dyDescent="0.25">
      <c r="A73">
        <v>589305</v>
      </c>
      <c r="B73" t="s">
        <v>429</v>
      </c>
      <c r="C73" t="str">
        <f>"9780719065989"</f>
        <v>9780719065989</v>
      </c>
      <c r="D73" t="str">
        <f>"9781847790859"</f>
        <v>9781847790859</v>
      </c>
      <c r="E73" t="s">
        <v>14</v>
      </c>
      <c r="F73" s="1">
        <v>38036</v>
      </c>
      <c r="G73" t="s">
        <v>430</v>
      </c>
      <c r="H73" t="s">
        <v>41</v>
      </c>
      <c r="I73" t="s">
        <v>431</v>
      </c>
      <c r="J73">
        <v>330.12599999999998</v>
      </c>
      <c r="K73" t="s">
        <v>432</v>
      </c>
      <c r="L73" t="s">
        <v>20</v>
      </c>
      <c r="M73" t="s">
        <v>433</v>
      </c>
    </row>
    <row r="74" spans="1:13" x14ac:dyDescent="0.25">
      <c r="A74">
        <v>589306</v>
      </c>
      <c r="B74" t="s">
        <v>434</v>
      </c>
      <c r="C74" t="str">
        <f>"9780719063305"</f>
        <v>9780719063305</v>
      </c>
      <c r="D74" t="str">
        <f>"9781847790712"</f>
        <v>9781847790712</v>
      </c>
      <c r="E74" t="s">
        <v>14</v>
      </c>
      <c r="F74" s="1">
        <v>37938</v>
      </c>
      <c r="G74" t="s">
        <v>435</v>
      </c>
      <c r="H74" t="s">
        <v>30</v>
      </c>
      <c r="I74" t="s">
        <v>436</v>
      </c>
      <c r="J74">
        <v>324.24104</v>
      </c>
      <c r="K74" t="s">
        <v>437</v>
      </c>
      <c r="L74" t="s">
        <v>20</v>
      </c>
      <c r="M74" t="s">
        <v>438</v>
      </c>
    </row>
    <row r="75" spans="1:13" x14ac:dyDescent="0.25">
      <c r="A75">
        <v>589307</v>
      </c>
      <c r="B75" t="s">
        <v>439</v>
      </c>
      <c r="C75" t="str">
        <f>"9780719068546"</f>
        <v>9780719068546</v>
      </c>
      <c r="D75" t="str">
        <f>"9781847791054"</f>
        <v>9781847791054</v>
      </c>
      <c r="E75" t="s">
        <v>14</v>
      </c>
      <c r="F75" s="1">
        <v>38288</v>
      </c>
      <c r="G75" t="s">
        <v>440</v>
      </c>
      <c r="H75" t="s">
        <v>441</v>
      </c>
      <c r="I75" t="s">
        <v>442</v>
      </c>
      <c r="J75">
        <v>664.07</v>
      </c>
      <c r="K75" t="s">
        <v>443</v>
      </c>
      <c r="L75" t="s">
        <v>20</v>
      </c>
      <c r="M75" t="s">
        <v>444</v>
      </c>
    </row>
    <row r="76" spans="1:13" x14ac:dyDescent="0.25">
      <c r="A76">
        <v>589308</v>
      </c>
      <c r="B76" t="s">
        <v>445</v>
      </c>
      <c r="C76" t="str">
        <f>"9780719065583"</f>
        <v>9780719065583</v>
      </c>
      <c r="D76" t="str">
        <f>"9781847790828"</f>
        <v>9781847790828</v>
      </c>
      <c r="E76" t="s">
        <v>14</v>
      </c>
      <c r="F76" s="1">
        <v>37917</v>
      </c>
      <c r="G76" t="s">
        <v>446</v>
      </c>
      <c r="H76" t="s">
        <v>447</v>
      </c>
      <c r="I76" t="s">
        <v>448</v>
      </c>
      <c r="J76">
        <v>363.73874000000001</v>
      </c>
      <c r="K76" t="s">
        <v>449</v>
      </c>
      <c r="L76" t="s">
        <v>20</v>
      </c>
      <c r="M76" t="s">
        <v>450</v>
      </c>
    </row>
    <row r="77" spans="1:13" x14ac:dyDescent="0.25">
      <c r="A77">
        <v>589309</v>
      </c>
      <c r="B77" t="s">
        <v>451</v>
      </c>
      <c r="C77" t="str">
        <f>"9780719067488"</f>
        <v>9780719067488</v>
      </c>
      <c r="D77" t="str">
        <f>"9781847790910"</f>
        <v>9781847790910</v>
      </c>
      <c r="E77" t="s">
        <v>14</v>
      </c>
      <c r="F77" s="1">
        <v>38050</v>
      </c>
      <c r="G77" t="s">
        <v>452</v>
      </c>
      <c r="H77" t="s">
        <v>453</v>
      </c>
      <c r="I77" t="s">
        <v>454</v>
      </c>
      <c r="J77" t="s">
        <v>455</v>
      </c>
      <c r="K77" t="s">
        <v>456</v>
      </c>
      <c r="L77" t="s">
        <v>20</v>
      </c>
      <c r="M77" t="s">
        <v>457</v>
      </c>
    </row>
    <row r="78" spans="1:13" x14ac:dyDescent="0.25">
      <c r="A78">
        <v>589311</v>
      </c>
      <c r="B78" t="s">
        <v>458</v>
      </c>
      <c r="C78" t="str">
        <f>"9780719064388"</f>
        <v>9780719064388</v>
      </c>
      <c r="D78" t="str">
        <f>"9781847790743"</f>
        <v>9781847790743</v>
      </c>
      <c r="E78" t="s">
        <v>14</v>
      </c>
      <c r="F78" s="1">
        <v>37881</v>
      </c>
      <c r="G78" t="s">
        <v>459</v>
      </c>
      <c r="H78" t="s">
        <v>139</v>
      </c>
      <c r="I78" t="s">
        <v>460</v>
      </c>
      <c r="J78" t="s">
        <v>461</v>
      </c>
      <c r="K78" t="s">
        <v>462</v>
      </c>
      <c r="L78" t="s">
        <v>20</v>
      </c>
      <c r="M78" t="s">
        <v>463</v>
      </c>
    </row>
    <row r="79" spans="1:13" x14ac:dyDescent="0.25">
      <c r="A79">
        <v>589312</v>
      </c>
      <c r="B79" t="s">
        <v>464</v>
      </c>
      <c r="C79" t="str">
        <f>"9780719067402"</f>
        <v>9780719067402</v>
      </c>
      <c r="D79" t="str">
        <f>"9781847790903"</f>
        <v>9781847790903</v>
      </c>
      <c r="E79" t="s">
        <v>14</v>
      </c>
      <c r="F79" s="1">
        <v>38050</v>
      </c>
      <c r="G79" t="s">
        <v>465</v>
      </c>
      <c r="H79" t="s">
        <v>310</v>
      </c>
      <c r="I79" t="s">
        <v>466</v>
      </c>
      <c r="J79" t="s">
        <v>467</v>
      </c>
      <c r="K79" t="s">
        <v>468</v>
      </c>
      <c r="L79" t="s">
        <v>20</v>
      </c>
      <c r="M79" t="s">
        <v>469</v>
      </c>
    </row>
    <row r="80" spans="1:13" x14ac:dyDescent="0.25">
      <c r="A80">
        <v>589313</v>
      </c>
      <c r="B80" t="s">
        <v>470</v>
      </c>
      <c r="C80" t="str">
        <f>"9780719065026"</f>
        <v>9780719065026</v>
      </c>
      <c r="D80" t="str">
        <f>"9781847790781"</f>
        <v>9781847790781</v>
      </c>
      <c r="E80" t="s">
        <v>14</v>
      </c>
      <c r="F80" s="1">
        <v>38080</v>
      </c>
      <c r="G80" t="s">
        <v>471</v>
      </c>
      <c r="H80" t="s">
        <v>30</v>
      </c>
      <c r="I80" t="s">
        <v>472</v>
      </c>
      <c r="J80" t="s">
        <v>473</v>
      </c>
      <c r="K80" t="s">
        <v>474</v>
      </c>
      <c r="L80" t="s">
        <v>20</v>
      </c>
      <c r="M80" t="s">
        <v>475</v>
      </c>
    </row>
    <row r="81" spans="1:13" x14ac:dyDescent="0.25">
      <c r="A81">
        <v>589314</v>
      </c>
      <c r="B81" t="s">
        <v>476</v>
      </c>
      <c r="C81" t="str">
        <f>"9780719064401"</f>
        <v>9780719064401</v>
      </c>
      <c r="D81" t="str">
        <f>"9781847790750"</f>
        <v>9781847790750</v>
      </c>
      <c r="E81" t="s">
        <v>14</v>
      </c>
      <c r="F81" s="1">
        <v>38080</v>
      </c>
      <c r="G81" t="s">
        <v>477</v>
      </c>
      <c r="H81" t="s">
        <v>16</v>
      </c>
      <c r="I81" t="s">
        <v>478</v>
      </c>
      <c r="J81">
        <v>133.43090240000001</v>
      </c>
      <c r="K81" t="s">
        <v>479</v>
      </c>
      <c r="L81" t="s">
        <v>20</v>
      </c>
      <c r="M81" t="s">
        <v>480</v>
      </c>
    </row>
    <row r="82" spans="1:13" x14ac:dyDescent="0.25">
      <c r="A82">
        <v>589315</v>
      </c>
      <c r="B82" t="s">
        <v>481</v>
      </c>
      <c r="C82" t="str">
        <f>"9780719065309"</f>
        <v>9780719065309</v>
      </c>
      <c r="D82" t="str">
        <f>"9781847790804"</f>
        <v>9781847790804</v>
      </c>
      <c r="E82" t="s">
        <v>14</v>
      </c>
      <c r="F82" s="1">
        <v>38094</v>
      </c>
      <c r="G82" t="s">
        <v>482</v>
      </c>
      <c r="H82" t="s">
        <v>64</v>
      </c>
      <c r="I82" t="s">
        <v>483</v>
      </c>
      <c r="J82" t="s">
        <v>484</v>
      </c>
      <c r="K82" t="s">
        <v>485</v>
      </c>
      <c r="L82" t="s">
        <v>20</v>
      </c>
      <c r="M82" t="s">
        <v>486</v>
      </c>
    </row>
    <row r="83" spans="1:13" x14ac:dyDescent="0.25">
      <c r="A83">
        <v>589316</v>
      </c>
      <c r="B83" t="s">
        <v>487</v>
      </c>
      <c r="C83" t="str">
        <f>"9780719062438"</f>
        <v>9780719062438</v>
      </c>
      <c r="D83" t="str">
        <f>"9781847790699"</f>
        <v>9781847790699</v>
      </c>
      <c r="E83" t="s">
        <v>14</v>
      </c>
      <c r="F83" s="1">
        <v>38413</v>
      </c>
      <c r="G83" t="s">
        <v>488</v>
      </c>
      <c r="H83" t="s">
        <v>489</v>
      </c>
      <c r="I83" t="s">
        <v>490</v>
      </c>
      <c r="J83">
        <v>306.2</v>
      </c>
      <c r="K83" t="s">
        <v>491</v>
      </c>
      <c r="L83" t="s">
        <v>20</v>
      </c>
      <c r="M83" t="s">
        <v>492</v>
      </c>
    </row>
    <row r="84" spans="1:13" x14ac:dyDescent="0.25">
      <c r="A84">
        <v>589317</v>
      </c>
      <c r="B84" t="s">
        <v>493</v>
      </c>
      <c r="C84" t="str">
        <f>"9780719070105"</f>
        <v>9780719070105</v>
      </c>
      <c r="D84" t="str">
        <f>"9781847791078"</f>
        <v>9781847791078</v>
      </c>
      <c r="E84" t="s">
        <v>14</v>
      </c>
      <c r="F84" s="1">
        <v>38267</v>
      </c>
      <c r="G84" t="s">
        <v>494</v>
      </c>
      <c r="H84" t="s">
        <v>495</v>
      </c>
      <c r="I84" t="s">
        <v>496</v>
      </c>
      <c r="J84" t="s">
        <v>497</v>
      </c>
      <c r="K84" t="s">
        <v>498</v>
      </c>
      <c r="L84" t="s">
        <v>20</v>
      </c>
      <c r="M84" t="s">
        <v>499</v>
      </c>
    </row>
    <row r="85" spans="1:13" x14ac:dyDescent="0.25">
      <c r="A85">
        <v>589318</v>
      </c>
      <c r="B85" t="s">
        <v>500</v>
      </c>
      <c r="C85" t="str">
        <f>"9780719061196"</f>
        <v>9780719061196</v>
      </c>
      <c r="D85" t="str">
        <f>"9781847790644"</f>
        <v>9781847790644</v>
      </c>
      <c r="E85" t="s">
        <v>14</v>
      </c>
      <c r="F85" s="1">
        <v>37833</v>
      </c>
      <c r="G85" t="s">
        <v>501</v>
      </c>
      <c r="H85" t="s">
        <v>30</v>
      </c>
      <c r="I85" t="s">
        <v>502</v>
      </c>
      <c r="J85">
        <v>324.24400000000003</v>
      </c>
      <c r="K85" t="s">
        <v>503</v>
      </c>
      <c r="L85" t="s">
        <v>20</v>
      </c>
      <c r="M85" t="s">
        <v>504</v>
      </c>
    </row>
    <row r="86" spans="1:13" x14ac:dyDescent="0.25">
      <c r="A86">
        <v>589319</v>
      </c>
      <c r="B86" t="s">
        <v>505</v>
      </c>
      <c r="C86" t="str">
        <f>"9780719043642"</f>
        <v>9780719043642</v>
      </c>
      <c r="D86" t="str">
        <f>"9781847790583"</f>
        <v>9781847790583</v>
      </c>
      <c r="E86" t="s">
        <v>14</v>
      </c>
      <c r="F86" s="1">
        <v>38101</v>
      </c>
      <c r="G86" t="s">
        <v>506</v>
      </c>
      <c r="H86" t="s">
        <v>30</v>
      </c>
      <c r="I86" t="s">
        <v>507</v>
      </c>
      <c r="J86">
        <v>320.94109046</v>
      </c>
      <c r="K86" t="s">
        <v>508</v>
      </c>
      <c r="L86" t="s">
        <v>20</v>
      </c>
      <c r="M86" t="s">
        <v>509</v>
      </c>
    </row>
    <row r="87" spans="1:13" x14ac:dyDescent="0.25">
      <c r="A87">
        <v>589320</v>
      </c>
      <c r="B87" t="s">
        <v>510</v>
      </c>
      <c r="C87" t="str">
        <f>"9780719064760"</f>
        <v>9780719064760</v>
      </c>
      <c r="D87" t="str">
        <f>"9781847790774"</f>
        <v>9781847790774</v>
      </c>
      <c r="E87" t="s">
        <v>14</v>
      </c>
      <c r="F87" s="1">
        <v>38094</v>
      </c>
      <c r="G87" t="s">
        <v>511</v>
      </c>
      <c r="H87" t="s">
        <v>512</v>
      </c>
      <c r="I87" t="s">
        <v>513</v>
      </c>
      <c r="J87" t="s">
        <v>514</v>
      </c>
      <c r="K87" t="s">
        <v>515</v>
      </c>
      <c r="L87" t="s">
        <v>20</v>
      </c>
      <c r="M87" t="s">
        <v>516</v>
      </c>
    </row>
    <row r="88" spans="1:13" x14ac:dyDescent="0.25">
      <c r="A88">
        <v>589321</v>
      </c>
      <c r="B88" t="s">
        <v>517</v>
      </c>
      <c r="C88" t="str">
        <f>"9780719069765"</f>
        <v>9780719069765</v>
      </c>
      <c r="D88" t="str">
        <f>"9781847791061"</f>
        <v>9781847791061</v>
      </c>
      <c r="E88" t="s">
        <v>14</v>
      </c>
      <c r="F88" s="1">
        <v>38353</v>
      </c>
      <c r="G88" t="s">
        <v>518</v>
      </c>
      <c r="H88" t="s">
        <v>310</v>
      </c>
      <c r="I88" t="s">
        <v>519</v>
      </c>
      <c r="J88">
        <v>262.12244090320002</v>
      </c>
      <c r="K88" t="s">
        <v>520</v>
      </c>
      <c r="L88" t="s">
        <v>20</v>
      </c>
      <c r="M88" t="s">
        <v>521</v>
      </c>
    </row>
    <row r="89" spans="1:13" x14ac:dyDescent="0.25">
      <c r="A89">
        <v>589322</v>
      </c>
      <c r="B89" t="s">
        <v>522</v>
      </c>
      <c r="C89" t="str">
        <f>"9780719065323"</f>
        <v>9780719065323</v>
      </c>
      <c r="D89" t="str">
        <f>"9781847790811"</f>
        <v>9781847790811</v>
      </c>
      <c r="E89" t="s">
        <v>14</v>
      </c>
      <c r="F89" s="1">
        <v>37933</v>
      </c>
      <c r="G89" t="s">
        <v>523</v>
      </c>
      <c r="H89" t="s">
        <v>30</v>
      </c>
      <c r="I89" t="s">
        <v>524</v>
      </c>
      <c r="J89">
        <v>320.44309048999997</v>
      </c>
      <c r="K89" t="s">
        <v>525</v>
      </c>
      <c r="L89" t="s">
        <v>20</v>
      </c>
      <c r="M89" t="s">
        <v>526</v>
      </c>
    </row>
    <row r="90" spans="1:13" x14ac:dyDescent="0.25">
      <c r="A90">
        <v>589323</v>
      </c>
      <c r="B90" t="s">
        <v>527</v>
      </c>
      <c r="C90" t="str">
        <f>"9780719065286"</f>
        <v>9780719065286</v>
      </c>
      <c r="D90" t="str">
        <f>"9781847790798"</f>
        <v>9781847790798</v>
      </c>
      <c r="E90" t="s">
        <v>14</v>
      </c>
      <c r="F90" s="1">
        <v>38050</v>
      </c>
      <c r="G90" t="s">
        <v>528</v>
      </c>
      <c r="H90" t="s">
        <v>529</v>
      </c>
      <c r="I90" t="s">
        <v>530</v>
      </c>
      <c r="J90" t="s">
        <v>531</v>
      </c>
      <c r="K90" t="s">
        <v>532</v>
      </c>
      <c r="L90" t="s">
        <v>20</v>
      </c>
      <c r="M90" t="s">
        <v>533</v>
      </c>
    </row>
    <row r="91" spans="1:13" x14ac:dyDescent="0.25">
      <c r="A91">
        <v>589324</v>
      </c>
      <c r="B91" t="s">
        <v>534</v>
      </c>
      <c r="C91" t="str">
        <f>"9780719062353"</f>
        <v>9780719062353</v>
      </c>
      <c r="D91" t="str">
        <f>"9781847790675"</f>
        <v>9781847790675</v>
      </c>
      <c r="E91" t="s">
        <v>14</v>
      </c>
      <c r="F91" s="1">
        <v>37442</v>
      </c>
      <c r="G91" t="s">
        <v>535</v>
      </c>
      <c r="H91" t="s">
        <v>139</v>
      </c>
      <c r="I91" t="s">
        <v>536</v>
      </c>
      <c r="J91" t="s">
        <v>537</v>
      </c>
      <c r="K91" t="s">
        <v>538</v>
      </c>
      <c r="L91" t="s">
        <v>20</v>
      </c>
      <c r="M91" t="s">
        <v>539</v>
      </c>
    </row>
    <row r="92" spans="1:13" x14ac:dyDescent="0.25">
      <c r="A92">
        <v>589325</v>
      </c>
      <c r="B92" t="s">
        <v>540</v>
      </c>
      <c r="C92" t="str">
        <f>"9780719067082"</f>
        <v>9780719067082</v>
      </c>
      <c r="D92" t="str">
        <f>"9781847791023"</f>
        <v>9781847791023</v>
      </c>
      <c r="E92" t="s">
        <v>14</v>
      </c>
      <c r="F92" s="1">
        <v>38413</v>
      </c>
      <c r="G92" t="s">
        <v>541</v>
      </c>
      <c r="H92" t="s">
        <v>221</v>
      </c>
      <c r="I92" t="s">
        <v>542</v>
      </c>
      <c r="J92">
        <v>355.03304300000002</v>
      </c>
      <c r="K92" t="s">
        <v>543</v>
      </c>
      <c r="L92" t="s">
        <v>20</v>
      </c>
      <c r="M92" t="s">
        <v>544</v>
      </c>
    </row>
    <row r="93" spans="1:13" x14ac:dyDescent="0.25">
      <c r="A93">
        <v>589326</v>
      </c>
      <c r="B93" t="s">
        <v>545</v>
      </c>
      <c r="C93" t="str">
        <f>"9780719069024"</f>
        <v>9780719069024</v>
      </c>
      <c r="D93" t="str">
        <f>"9781847790941"</f>
        <v>9781847790941</v>
      </c>
      <c r="E93" t="s">
        <v>14</v>
      </c>
      <c r="F93" s="1">
        <v>38057</v>
      </c>
      <c r="G93" t="s">
        <v>546</v>
      </c>
      <c r="H93" t="s">
        <v>547</v>
      </c>
      <c r="I93" t="s">
        <v>548</v>
      </c>
      <c r="J93" t="s">
        <v>549</v>
      </c>
      <c r="K93" t="s">
        <v>550</v>
      </c>
      <c r="L93" t="s">
        <v>20</v>
      </c>
      <c r="M93" t="s">
        <v>551</v>
      </c>
    </row>
    <row r="94" spans="1:13" x14ac:dyDescent="0.25">
      <c r="A94">
        <v>589327</v>
      </c>
      <c r="B94" t="s">
        <v>552</v>
      </c>
      <c r="C94" t="str">
        <f>"9780719060182"</f>
        <v>9780719060182</v>
      </c>
      <c r="D94" t="str">
        <f>"9781847790613"</f>
        <v>9781847790613</v>
      </c>
      <c r="E94" t="s">
        <v>14</v>
      </c>
      <c r="F94" s="1">
        <v>38094</v>
      </c>
      <c r="G94" t="s">
        <v>553</v>
      </c>
      <c r="H94" t="s">
        <v>64</v>
      </c>
      <c r="I94" t="s">
        <v>554</v>
      </c>
      <c r="J94" t="s">
        <v>555</v>
      </c>
      <c r="K94" t="s">
        <v>556</v>
      </c>
      <c r="L94" t="s">
        <v>20</v>
      </c>
      <c r="M94" t="s">
        <v>557</v>
      </c>
    </row>
    <row r="95" spans="1:13" x14ac:dyDescent="0.25">
      <c r="A95">
        <v>589328</v>
      </c>
      <c r="B95" t="s">
        <v>558</v>
      </c>
      <c r="C95" t="str">
        <f>"9780719063183"</f>
        <v>9780719063183</v>
      </c>
      <c r="D95" t="str">
        <f>"9781847790989"</f>
        <v>9781847790989</v>
      </c>
      <c r="E95" t="s">
        <v>14</v>
      </c>
      <c r="F95" s="1">
        <v>38261</v>
      </c>
      <c r="G95" t="s">
        <v>559</v>
      </c>
      <c r="H95" t="s">
        <v>163</v>
      </c>
      <c r="I95" t="s">
        <v>560</v>
      </c>
      <c r="J95" t="s">
        <v>561</v>
      </c>
      <c r="K95" t="s">
        <v>562</v>
      </c>
      <c r="L95" t="s">
        <v>20</v>
      </c>
      <c r="M95" t="s">
        <v>563</v>
      </c>
    </row>
    <row r="96" spans="1:13" x14ac:dyDescent="0.25">
      <c r="A96">
        <v>589329</v>
      </c>
      <c r="B96" t="s">
        <v>564</v>
      </c>
      <c r="C96" t="str">
        <f>"9780719067143"</f>
        <v>9780719067143</v>
      </c>
      <c r="D96" t="str">
        <f>"9781847791030"</f>
        <v>9781847791030</v>
      </c>
      <c r="E96" t="s">
        <v>14</v>
      </c>
      <c r="F96" s="1">
        <v>38353</v>
      </c>
      <c r="G96" t="s">
        <v>565</v>
      </c>
      <c r="H96" t="s">
        <v>70</v>
      </c>
      <c r="I96" t="s">
        <v>566</v>
      </c>
      <c r="J96">
        <v>823.91399999999999</v>
      </c>
      <c r="K96" t="s">
        <v>567</v>
      </c>
      <c r="L96" t="s">
        <v>20</v>
      </c>
      <c r="M96" t="s">
        <v>568</v>
      </c>
    </row>
    <row r="97" spans="1:13" x14ac:dyDescent="0.25">
      <c r="A97">
        <v>589330</v>
      </c>
      <c r="B97" t="s">
        <v>569</v>
      </c>
      <c r="C97" t="str">
        <f>"9780719063701"</f>
        <v>9780719063701</v>
      </c>
      <c r="D97" t="str">
        <f>"9781847790729"</f>
        <v>9781847790729</v>
      </c>
      <c r="E97" t="s">
        <v>14</v>
      </c>
      <c r="F97" s="1">
        <v>37933</v>
      </c>
      <c r="G97" t="s">
        <v>570</v>
      </c>
      <c r="H97" t="s">
        <v>146</v>
      </c>
      <c r="I97" t="s">
        <v>571</v>
      </c>
      <c r="J97" t="s">
        <v>572</v>
      </c>
      <c r="K97" t="s">
        <v>573</v>
      </c>
      <c r="L97" t="s">
        <v>20</v>
      </c>
      <c r="M97" t="s">
        <v>574</v>
      </c>
    </row>
    <row r="98" spans="1:13" x14ac:dyDescent="0.25">
      <c r="A98">
        <v>589331</v>
      </c>
      <c r="B98" t="s">
        <v>575</v>
      </c>
      <c r="C98" t="str">
        <f>"9780719066061"</f>
        <v>9780719066061</v>
      </c>
      <c r="D98" t="str">
        <f>"9781847790873"</f>
        <v>9781847790873</v>
      </c>
      <c r="E98" t="s">
        <v>14</v>
      </c>
      <c r="F98" s="1">
        <v>37933</v>
      </c>
      <c r="G98" t="s">
        <v>576</v>
      </c>
      <c r="H98" t="s">
        <v>239</v>
      </c>
      <c r="I98" t="s">
        <v>577</v>
      </c>
      <c r="J98">
        <v>344.40989999999999</v>
      </c>
      <c r="K98" t="s">
        <v>578</v>
      </c>
      <c r="L98" t="s">
        <v>20</v>
      </c>
      <c r="M98" t="s">
        <v>579</v>
      </c>
    </row>
    <row r="99" spans="1:13" x14ac:dyDescent="0.25">
      <c r="A99">
        <v>589332</v>
      </c>
      <c r="B99" t="s">
        <v>580</v>
      </c>
      <c r="C99" t="str">
        <f>"9780719063909"</f>
        <v>9780719063909</v>
      </c>
      <c r="D99" t="str">
        <f>"9781847790736"</f>
        <v>9781847790736</v>
      </c>
      <c r="E99" t="s">
        <v>14</v>
      </c>
      <c r="F99" s="1">
        <v>37685</v>
      </c>
      <c r="G99" t="s">
        <v>581</v>
      </c>
      <c r="H99" t="s">
        <v>64</v>
      </c>
      <c r="I99" t="s">
        <v>582</v>
      </c>
      <c r="J99" t="s">
        <v>583</v>
      </c>
      <c r="K99" t="s">
        <v>584</v>
      </c>
      <c r="L99" t="s">
        <v>20</v>
      </c>
      <c r="M99" t="s">
        <v>585</v>
      </c>
    </row>
    <row r="100" spans="1:13" x14ac:dyDescent="0.25">
      <c r="A100">
        <v>589333</v>
      </c>
      <c r="B100" t="s">
        <v>586</v>
      </c>
      <c r="C100" t="str">
        <f>"9780719065804"</f>
        <v>9780719065804</v>
      </c>
      <c r="D100" t="str">
        <f>"9781847790842"</f>
        <v>9781847790842</v>
      </c>
      <c r="E100" t="s">
        <v>14</v>
      </c>
      <c r="F100" s="1">
        <v>38080</v>
      </c>
      <c r="G100" t="s">
        <v>587</v>
      </c>
      <c r="H100" t="s">
        <v>30</v>
      </c>
      <c r="I100" t="s">
        <v>588</v>
      </c>
      <c r="J100" t="s">
        <v>589</v>
      </c>
      <c r="K100" t="s">
        <v>590</v>
      </c>
      <c r="L100" t="s">
        <v>20</v>
      </c>
      <c r="M100" t="s">
        <v>591</v>
      </c>
    </row>
    <row r="101" spans="1:13" x14ac:dyDescent="0.25">
      <c r="A101">
        <v>589335</v>
      </c>
      <c r="B101" t="s">
        <v>592</v>
      </c>
      <c r="C101" t="str">
        <f>"9780719064746"</f>
        <v>9780719064746</v>
      </c>
      <c r="D101" t="str">
        <f>"9781847790767"</f>
        <v>9781847790767</v>
      </c>
      <c r="E101" t="s">
        <v>14</v>
      </c>
      <c r="F101" s="1">
        <v>38080</v>
      </c>
      <c r="G101" t="s">
        <v>593</v>
      </c>
      <c r="H101" t="s">
        <v>594</v>
      </c>
      <c r="I101" t="s">
        <v>595</v>
      </c>
      <c r="J101" t="s">
        <v>596</v>
      </c>
      <c r="K101" t="s">
        <v>597</v>
      </c>
      <c r="L101" t="s">
        <v>20</v>
      </c>
      <c r="M101" t="s">
        <v>598</v>
      </c>
    </row>
    <row r="102" spans="1:13" x14ac:dyDescent="0.25">
      <c r="A102">
        <v>589336</v>
      </c>
      <c r="B102" t="s">
        <v>599</v>
      </c>
      <c r="C102" t="str">
        <f>"9780719061219"</f>
        <v>9780719061219</v>
      </c>
      <c r="D102" t="str">
        <f>"9781847790972"</f>
        <v>9781847790972</v>
      </c>
      <c r="E102" t="s">
        <v>14</v>
      </c>
      <c r="F102" s="1">
        <v>38413</v>
      </c>
      <c r="G102" t="s">
        <v>600</v>
      </c>
      <c r="H102" t="s">
        <v>221</v>
      </c>
      <c r="I102" t="s">
        <v>601</v>
      </c>
      <c r="J102" t="s">
        <v>602</v>
      </c>
      <c r="K102" t="s">
        <v>603</v>
      </c>
      <c r="L102" t="s">
        <v>20</v>
      </c>
      <c r="M102" t="s">
        <v>604</v>
      </c>
    </row>
    <row r="103" spans="1:13" x14ac:dyDescent="0.25">
      <c r="A103">
        <v>589338</v>
      </c>
      <c r="B103" t="s">
        <v>605</v>
      </c>
      <c r="C103" t="str">
        <f>"9780719065729"</f>
        <v>9780719065729</v>
      </c>
      <c r="D103" t="str">
        <f>"9781847790835"</f>
        <v>9781847790835</v>
      </c>
      <c r="E103" t="s">
        <v>14</v>
      </c>
      <c r="F103" s="1">
        <v>38080</v>
      </c>
      <c r="G103" t="s">
        <v>606</v>
      </c>
      <c r="H103" t="s">
        <v>146</v>
      </c>
      <c r="I103" t="s">
        <v>607</v>
      </c>
      <c r="J103">
        <v>940.55</v>
      </c>
      <c r="K103" t="s">
        <v>608</v>
      </c>
      <c r="L103" t="s">
        <v>20</v>
      </c>
      <c r="M103" t="s">
        <v>609</v>
      </c>
    </row>
    <row r="104" spans="1:13" x14ac:dyDescent="0.25">
      <c r="A104">
        <v>589339</v>
      </c>
      <c r="B104" t="s">
        <v>610</v>
      </c>
      <c r="C104" t="str">
        <f>"9780719067440"</f>
        <v>9780719067440</v>
      </c>
      <c r="D104" t="str">
        <f>"9781847791313"</f>
        <v>9781847791313</v>
      </c>
      <c r="E104" t="s">
        <v>14</v>
      </c>
      <c r="F104" s="1">
        <v>38050</v>
      </c>
      <c r="G104" t="s">
        <v>611</v>
      </c>
      <c r="H104" t="s">
        <v>120</v>
      </c>
      <c r="I104" t="s">
        <v>612</v>
      </c>
      <c r="J104" t="s">
        <v>613</v>
      </c>
      <c r="K104" t="s">
        <v>614</v>
      </c>
      <c r="L104" t="s">
        <v>20</v>
      </c>
      <c r="M104" t="s">
        <v>615</v>
      </c>
    </row>
    <row r="105" spans="1:13" x14ac:dyDescent="0.25">
      <c r="A105">
        <v>605962</v>
      </c>
      <c r="B105" t="s">
        <v>616</v>
      </c>
      <c r="C105" t="str">
        <f>"9783110232097"</f>
        <v>9783110232097</v>
      </c>
      <c r="D105" t="str">
        <f>"9783110232103"</f>
        <v>9783110232103</v>
      </c>
      <c r="E105" t="s">
        <v>350</v>
      </c>
      <c r="F105" s="1">
        <v>40449</v>
      </c>
      <c r="G105" t="s">
        <v>617</v>
      </c>
      <c r="H105" t="s">
        <v>272</v>
      </c>
      <c r="I105" t="s">
        <v>618</v>
      </c>
      <c r="J105" t="s">
        <v>619</v>
      </c>
      <c r="K105" t="s">
        <v>620</v>
      </c>
      <c r="L105" t="s">
        <v>291</v>
      </c>
      <c r="M105" t="s">
        <v>621</v>
      </c>
    </row>
    <row r="106" spans="1:13" x14ac:dyDescent="0.25">
      <c r="A106">
        <v>605983</v>
      </c>
      <c r="B106" t="s">
        <v>622</v>
      </c>
      <c r="C106" t="str">
        <f>"9783110220506"</f>
        <v>9783110220506</v>
      </c>
      <c r="D106" t="str">
        <f>"9783110220513"</f>
        <v>9783110220513</v>
      </c>
      <c r="E106" t="s">
        <v>270</v>
      </c>
      <c r="F106" s="1">
        <v>40438</v>
      </c>
      <c r="G106" t="s">
        <v>623</v>
      </c>
      <c r="H106" t="s">
        <v>139</v>
      </c>
      <c r="I106" t="s">
        <v>624</v>
      </c>
      <c r="J106" t="s">
        <v>625</v>
      </c>
      <c r="K106" t="s">
        <v>626</v>
      </c>
      <c r="L106" t="s">
        <v>291</v>
      </c>
      <c r="M106" t="s">
        <v>627</v>
      </c>
    </row>
    <row r="107" spans="1:13" x14ac:dyDescent="0.25">
      <c r="A107">
        <v>689637</v>
      </c>
      <c r="B107" t="s">
        <v>628</v>
      </c>
      <c r="C107" t="str">
        <f>"9783110222838"</f>
        <v>9783110222838</v>
      </c>
      <c r="D107" t="str">
        <f>"9783110222845"</f>
        <v>9783110222845</v>
      </c>
      <c r="E107" t="s">
        <v>270</v>
      </c>
      <c r="F107" s="1">
        <v>40525</v>
      </c>
      <c r="G107" t="s">
        <v>629</v>
      </c>
      <c r="H107" t="s">
        <v>126</v>
      </c>
      <c r="I107" t="s">
        <v>630</v>
      </c>
      <c r="J107">
        <v>307.76</v>
      </c>
      <c r="K107" t="s">
        <v>631</v>
      </c>
      <c r="L107" t="s">
        <v>291</v>
      </c>
      <c r="M107" t="s">
        <v>632</v>
      </c>
    </row>
    <row r="108" spans="1:13" x14ac:dyDescent="0.25">
      <c r="A108">
        <v>690682</v>
      </c>
      <c r="B108" t="s">
        <v>633</v>
      </c>
      <c r="C108" t="str">
        <f>"9783110254051"</f>
        <v>9783110254051</v>
      </c>
      <c r="D108" t="str">
        <f>"9783110254068"</f>
        <v>9783110254068</v>
      </c>
      <c r="E108" t="s">
        <v>270</v>
      </c>
      <c r="F108" s="1">
        <v>40619</v>
      </c>
      <c r="G108" t="s">
        <v>634</v>
      </c>
      <c r="H108" t="s">
        <v>635</v>
      </c>
      <c r="I108" t="s">
        <v>636</v>
      </c>
      <c r="J108" t="s">
        <v>637</v>
      </c>
      <c r="K108" t="s">
        <v>638</v>
      </c>
      <c r="L108" t="s">
        <v>291</v>
      </c>
      <c r="M108" t="s">
        <v>639</v>
      </c>
    </row>
    <row r="109" spans="1:13" x14ac:dyDescent="0.25">
      <c r="A109">
        <v>737017</v>
      </c>
      <c r="B109" t="s">
        <v>640</v>
      </c>
      <c r="C109" t="str">
        <f>"9783110248548"</f>
        <v>9783110248548</v>
      </c>
      <c r="D109" t="str">
        <f>"9783110262216"</f>
        <v>9783110262216</v>
      </c>
      <c r="E109" t="s">
        <v>270</v>
      </c>
      <c r="F109" s="1">
        <v>40723</v>
      </c>
      <c r="G109" t="s">
        <v>641</v>
      </c>
      <c r="H109" t="s">
        <v>239</v>
      </c>
      <c r="I109" t="s">
        <v>642</v>
      </c>
      <c r="J109">
        <v>342.43</v>
      </c>
      <c r="K109" t="s">
        <v>643</v>
      </c>
      <c r="L109" t="s">
        <v>291</v>
      </c>
      <c r="M109" t="s">
        <v>644</v>
      </c>
    </row>
    <row r="110" spans="1:13" x14ac:dyDescent="0.25">
      <c r="A110">
        <v>797973</v>
      </c>
      <c r="B110" t="s">
        <v>645</v>
      </c>
      <c r="C110" t="str">
        <f>"9783110240870"</f>
        <v>9783110240870</v>
      </c>
      <c r="D110" t="str">
        <f>"9783110240887"</f>
        <v>9783110240887</v>
      </c>
      <c r="E110" t="s">
        <v>270</v>
      </c>
      <c r="F110" s="1">
        <v>40690</v>
      </c>
      <c r="G110" t="s">
        <v>646</v>
      </c>
      <c r="H110" t="s">
        <v>310</v>
      </c>
      <c r="I110" t="s">
        <v>647</v>
      </c>
      <c r="J110">
        <v>292</v>
      </c>
      <c r="K110" t="s">
        <v>648</v>
      </c>
      <c r="L110" t="s">
        <v>291</v>
      </c>
      <c r="M110" t="s">
        <v>649</v>
      </c>
    </row>
    <row r="111" spans="1:13" x14ac:dyDescent="0.25">
      <c r="A111">
        <v>797994</v>
      </c>
      <c r="B111" t="s">
        <v>650</v>
      </c>
      <c r="C111" t="str">
        <f>"9783110248845"</f>
        <v>9783110248845</v>
      </c>
      <c r="D111" t="str">
        <f>"9783110248852"</f>
        <v>9783110248852</v>
      </c>
      <c r="E111" t="s">
        <v>270</v>
      </c>
      <c r="F111" s="1">
        <v>40525</v>
      </c>
      <c r="G111" t="s">
        <v>651</v>
      </c>
      <c r="H111" t="s">
        <v>70</v>
      </c>
      <c r="I111" t="s">
        <v>652</v>
      </c>
      <c r="J111">
        <v>831.7</v>
      </c>
      <c r="K111" t="s">
        <v>653</v>
      </c>
      <c r="L111" t="s">
        <v>291</v>
      </c>
      <c r="M111" t="s">
        <v>654</v>
      </c>
    </row>
    <row r="112" spans="1:13" x14ac:dyDescent="0.25">
      <c r="A112">
        <v>799421</v>
      </c>
      <c r="B112" t="s">
        <v>655</v>
      </c>
      <c r="C112" t="str">
        <f>"9783110258233"</f>
        <v>9783110258233</v>
      </c>
      <c r="D112" t="str">
        <f>"9783110258240"</f>
        <v>9783110258240</v>
      </c>
      <c r="E112" t="s">
        <v>270</v>
      </c>
      <c r="F112" s="1">
        <v>40833</v>
      </c>
      <c r="G112" t="s">
        <v>656</v>
      </c>
      <c r="H112" t="s">
        <v>70</v>
      </c>
      <c r="I112" t="s">
        <v>657</v>
      </c>
      <c r="J112">
        <v>830.9</v>
      </c>
      <c r="K112" t="s">
        <v>658</v>
      </c>
      <c r="L112" t="s">
        <v>291</v>
      </c>
      <c r="M112" t="s">
        <v>659</v>
      </c>
    </row>
    <row r="113" spans="1:13" x14ac:dyDescent="0.25">
      <c r="A113">
        <v>827286</v>
      </c>
      <c r="B113" t="s">
        <v>660</v>
      </c>
      <c r="C113" t="str">
        <f>"9783110222135"</f>
        <v>9783110222135</v>
      </c>
      <c r="D113" t="str">
        <f>"9783110222142"</f>
        <v>9783110222142</v>
      </c>
      <c r="E113" t="s">
        <v>270</v>
      </c>
      <c r="F113" s="1">
        <v>40864</v>
      </c>
      <c r="G113" t="s">
        <v>661</v>
      </c>
      <c r="H113" t="s">
        <v>662</v>
      </c>
      <c r="I113" t="s">
        <v>663</v>
      </c>
      <c r="J113">
        <v>700.45799999999997</v>
      </c>
      <c r="K113" t="s">
        <v>664</v>
      </c>
      <c r="L113" t="s">
        <v>291</v>
      </c>
      <c r="M113" t="s">
        <v>665</v>
      </c>
    </row>
    <row r="114" spans="1:13" x14ac:dyDescent="0.25">
      <c r="A114">
        <v>887106</v>
      </c>
      <c r="B114" t="s">
        <v>666</v>
      </c>
      <c r="C114" t="str">
        <f>"9783110265682"</f>
        <v>9783110265682</v>
      </c>
      <c r="D114" t="str">
        <f>"9783110266863"</f>
        <v>9783110266863</v>
      </c>
      <c r="E114" t="s">
        <v>270</v>
      </c>
      <c r="F114" s="1">
        <v>40955</v>
      </c>
      <c r="G114" t="s">
        <v>667</v>
      </c>
      <c r="H114" t="s">
        <v>64</v>
      </c>
      <c r="I114" t="s">
        <v>668</v>
      </c>
      <c r="J114">
        <v>305.23</v>
      </c>
      <c r="K114" t="s">
        <v>669</v>
      </c>
      <c r="L114" t="s">
        <v>291</v>
      </c>
      <c r="M114" t="s">
        <v>670</v>
      </c>
    </row>
    <row r="115" spans="1:13" x14ac:dyDescent="0.25">
      <c r="A115">
        <v>893097</v>
      </c>
      <c r="B115" t="s">
        <v>671</v>
      </c>
      <c r="C115" t="str">
        <f>"9783110265927"</f>
        <v>9783110265927</v>
      </c>
      <c r="D115" t="str">
        <f>"9783110266412"</f>
        <v>9783110266412</v>
      </c>
      <c r="E115" t="s">
        <v>270</v>
      </c>
      <c r="F115" s="1">
        <v>41715</v>
      </c>
      <c r="G115" t="s">
        <v>672</v>
      </c>
      <c r="H115" t="s">
        <v>139</v>
      </c>
      <c r="I115" t="s">
        <v>673</v>
      </c>
      <c r="J115">
        <v>939.4</v>
      </c>
      <c r="K115" t="s">
        <v>674</v>
      </c>
      <c r="L115" t="s">
        <v>20</v>
      </c>
      <c r="M115" t="s">
        <v>675</v>
      </c>
    </row>
    <row r="116" spans="1:13" x14ac:dyDescent="0.25">
      <c r="A116">
        <v>893107</v>
      </c>
      <c r="B116" t="s">
        <v>676</v>
      </c>
      <c r="C116" t="str">
        <f>"9783110294439"</f>
        <v>9783110294439</v>
      </c>
      <c r="D116" t="str">
        <f>"9783110294750"</f>
        <v>9783110294750</v>
      </c>
      <c r="E116" t="s">
        <v>270</v>
      </c>
      <c r="F116" s="1">
        <v>41106</v>
      </c>
      <c r="G116" t="s">
        <v>677</v>
      </c>
      <c r="H116" t="s">
        <v>310</v>
      </c>
      <c r="I116" t="s">
        <v>678</v>
      </c>
      <c r="J116" t="s">
        <v>679</v>
      </c>
      <c r="K116" t="s">
        <v>680</v>
      </c>
      <c r="L116" t="s">
        <v>291</v>
      </c>
      <c r="M116" t="s">
        <v>681</v>
      </c>
    </row>
    <row r="117" spans="1:13" x14ac:dyDescent="0.25">
      <c r="A117">
        <v>893177</v>
      </c>
      <c r="B117" t="s">
        <v>682</v>
      </c>
      <c r="C117" t="str">
        <f>"9783110287370"</f>
        <v>9783110287370</v>
      </c>
      <c r="D117" t="str">
        <f>"9783110287424"</f>
        <v>9783110287424</v>
      </c>
      <c r="E117" t="s">
        <v>270</v>
      </c>
      <c r="F117" s="1">
        <v>41015</v>
      </c>
      <c r="G117" t="s">
        <v>683</v>
      </c>
      <c r="H117" t="s">
        <v>239</v>
      </c>
      <c r="I117" t="s">
        <v>684</v>
      </c>
      <c r="J117">
        <v>342</v>
      </c>
      <c r="K117" t="s">
        <v>685</v>
      </c>
      <c r="L117" t="s">
        <v>291</v>
      </c>
      <c r="M117" t="s">
        <v>686</v>
      </c>
    </row>
    <row r="118" spans="1:13" x14ac:dyDescent="0.25">
      <c r="A118">
        <v>893383</v>
      </c>
      <c r="B118" t="s">
        <v>687</v>
      </c>
      <c r="C118" t="str">
        <f>"9783110278385"</f>
        <v>9783110278385</v>
      </c>
      <c r="D118" t="str">
        <f>"9783110278552"</f>
        <v>9783110278552</v>
      </c>
      <c r="E118" t="s">
        <v>270</v>
      </c>
      <c r="F118" s="1">
        <v>41074</v>
      </c>
      <c r="G118" t="s">
        <v>688</v>
      </c>
      <c r="H118" t="s">
        <v>689</v>
      </c>
      <c r="I118" t="s">
        <v>690</v>
      </c>
      <c r="J118" t="s">
        <v>691</v>
      </c>
      <c r="K118" t="s">
        <v>692</v>
      </c>
      <c r="L118" t="s">
        <v>291</v>
      </c>
      <c r="M118" t="s">
        <v>693</v>
      </c>
    </row>
    <row r="119" spans="1:13" x14ac:dyDescent="0.25">
      <c r="A119">
        <v>893468</v>
      </c>
      <c r="B119" t="s">
        <v>694</v>
      </c>
      <c r="C119" t="str">
        <f>"9783110260052"</f>
        <v>9783110260052</v>
      </c>
      <c r="D119" t="str">
        <f>"9783110260779"</f>
        <v>9783110260779</v>
      </c>
      <c r="E119" t="s">
        <v>270</v>
      </c>
      <c r="F119" s="1">
        <v>41534</v>
      </c>
      <c r="G119" t="s">
        <v>695</v>
      </c>
      <c r="H119" t="s">
        <v>139</v>
      </c>
      <c r="I119" t="s">
        <v>696</v>
      </c>
      <c r="J119">
        <v>936.4</v>
      </c>
      <c r="K119" t="s">
        <v>697</v>
      </c>
      <c r="L119" t="s">
        <v>291</v>
      </c>
      <c r="M119" t="s">
        <v>698</v>
      </c>
    </row>
    <row r="120" spans="1:13" x14ac:dyDescent="0.25">
      <c r="A120">
        <v>893883</v>
      </c>
      <c r="B120" t="s">
        <v>699</v>
      </c>
      <c r="C120" t="str">
        <f>"9783598251276"</f>
        <v>9783598251276</v>
      </c>
      <c r="D120" t="str">
        <f>"9783110232363"</f>
        <v>9783110232363</v>
      </c>
      <c r="E120" t="s">
        <v>270</v>
      </c>
      <c r="F120" s="1">
        <v>41047</v>
      </c>
      <c r="G120" t="s">
        <v>700</v>
      </c>
      <c r="H120" t="s">
        <v>139</v>
      </c>
      <c r="I120" t="s">
        <v>701</v>
      </c>
      <c r="J120">
        <v>943.08</v>
      </c>
      <c r="K120" t="s">
        <v>702</v>
      </c>
      <c r="L120" t="s">
        <v>291</v>
      </c>
      <c r="M120" t="s">
        <v>703</v>
      </c>
    </row>
    <row r="121" spans="1:13" x14ac:dyDescent="0.25">
      <c r="A121">
        <v>893937</v>
      </c>
      <c r="B121" t="s">
        <v>704</v>
      </c>
      <c r="C121" t="str">
        <f>"9783110266290"</f>
        <v>9783110266290</v>
      </c>
      <c r="D121" t="str">
        <f>"9783110266306"</f>
        <v>9783110266306</v>
      </c>
      <c r="E121" t="s">
        <v>270</v>
      </c>
      <c r="F121" s="1">
        <v>41058</v>
      </c>
      <c r="G121" t="s">
        <v>705</v>
      </c>
      <c r="H121" t="s">
        <v>706</v>
      </c>
      <c r="I121" t="s">
        <v>707</v>
      </c>
      <c r="J121">
        <v>599.9</v>
      </c>
      <c r="K121" t="s">
        <v>708</v>
      </c>
      <c r="L121" t="s">
        <v>20</v>
      </c>
      <c r="M121" t="s">
        <v>709</v>
      </c>
    </row>
    <row r="122" spans="1:13" x14ac:dyDescent="0.25">
      <c r="A122">
        <v>894020</v>
      </c>
      <c r="B122" t="s">
        <v>710</v>
      </c>
      <c r="C122" t="str">
        <f>"9783110269505"</f>
        <v>9783110269505</v>
      </c>
      <c r="D122" t="str">
        <f>"9783110269598"</f>
        <v>9783110269598</v>
      </c>
      <c r="E122" t="s">
        <v>350</v>
      </c>
      <c r="F122" s="1">
        <v>41241</v>
      </c>
      <c r="G122" t="s">
        <v>711</v>
      </c>
      <c r="H122" t="s">
        <v>712</v>
      </c>
      <c r="I122" t="s">
        <v>713</v>
      </c>
      <c r="J122">
        <v>6.76</v>
      </c>
      <c r="K122" t="s">
        <v>714</v>
      </c>
      <c r="L122" t="s">
        <v>291</v>
      </c>
      <c r="M122" t="s">
        <v>715</v>
      </c>
    </row>
    <row r="123" spans="1:13" x14ac:dyDescent="0.25">
      <c r="A123">
        <v>894021</v>
      </c>
      <c r="B123" t="s">
        <v>716</v>
      </c>
      <c r="C123" t="str">
        <f>"9783110253269"</f>
        <v>9783110253269</v>
      </c>
      <c r="D123" t="str">
        <f>"9783110263121"</f>
        <v>9783110263121</v>
      </c>
      <c r="E123" t="s">
        <v>350</v>
      </c>
      <c r="F123" s="1">
        <v>41138</v>
      </c>
      <c r="G123" t="s">
        <v>717</v>
      </c>
      <c r="H123" t="s">
        <v>272</v>
      </c>
      <c r="I123" t="s">
        <v>718</v>
      </c>
      <c r="J123">
        <v>21.2</v>
      </c>
      <c r="K123" t="s">
        <v>719</v>
      </c>
      <c r="L123" t="s">
        <v>20</v>
      </c>
      <c r="M123" t="s">
        <v>720</v>
      </c>
    </row>
    <row r="124" spans="1:13" x14ac:dyDescent="0.25">
      <c r="A124">
        <v>894152</v>
      </c>
      <c r="B124" t="s">
        <v>721</v>
      </c>
      <c r="C124" t="str">
        <f>"9781614511281"</f>
        <v>9781614511281</v>
      </c>
      <c r="D124" t="str">
        <f>"9781614511014"</f>
        <v>9781614511014</v>
      </c>
      <c r="E124" t="s">
        <v>270</v>
      </c>
      <c r="F124" s="1">
        <v>41564</v>
      </c>
      <c r="G124" t="s">
        <v>722</v>
      </c>
      <c r="H124" t="s">
        <v>16</v>
      </c>
      <c r="I124" t="s">
        <v>723</v>
      </c>
      <c r="J124">
        <v>193</v>
      </c>
      <c r="K124" t="s">
        <v>724</v>
      </c>
      <c r="L124" t="s">
        <v>20</v>
      </c>
      <c r="M124" t="s">
        <v>725</v>
      </c>
    </row>
    <row r="125" spans="1:13" x14ac:dyDescent="0.25">
      <c r="A125">
        <v>913001</v>
      </c>
      <c r="B125" t="s">
        <v>726</v>
      </c>
      <c r="C125" t="str">
        <f>"9783110265958"</f>
        <v>9783110265958</v>
      </c>
      <c r="D125" t="str">
        <f>"9783110266405"</f>
        <v>9783110266405</v>
      </c>
      <c r="E125" t="s">
        <v>270</v>
      </c>
      <c r="F125" s="1">
        <v>41729</v>
      </c>
      <c r="G125" t="s">
        <v>727</v>
      </c>
      <c r="H125" t="s">
        <v>139</v>
      </c>
      <c r="I125" t="s">
        <v>728</v>
      </c>
      <c r="J125">
        <v>956.74</v>
      </c>
      <c r="K125" t="s">
        <v>729</v>
      </c>
      <c r="L125" t="s">
        <v>20</v>
      </c>
      <c r="M125" t="s">
        <v>730</v>
      </c>
    </row>
    <row r="126" spans="1:13" x14ac:dyDescent="0.25">
      <c r="A126">
        <v>913211</v>
      </c>
      <c r="B126" t="s">
        <v>731</v>
      </c>
      <c r="C126" t="str">
        <f>"9783110222111"</f>
        <v>9783110222111</v>
      </c>
      <c r="D126" t="str">
        <f>"9783110222128"</f>
        <v>9783110222128</v>
      </c>
      <c r="E126" t="s">
        <v>270</v>
      </c>
      <c r="F126" s="1">
        <v>40742</v>
      </c>
      <c r="G126" t="s">
        <v>732</v>
      </c>
      <c r="H126" t="s">
        <v>139</v>
      </c>
      <c r="I126" t="s">
        <v>733</v>
      </c>
      <c r="J126">
        <v>935</v>
      </c>
      <c r="K126" t="s">
        <v>734</v>
      </c>
      <c r="L126" t="s">
        <v>291</v>
      </c>
      <c r="M126" t="s">
        <v>735</v>
      </c>
    </row>
    <row r="127" spans="1:13" x14ac:dyDescent="0.25">
      <c r="A127">
        <v>913221</v>
      </c>
      <c r="B127" t="s">
        <v>736</v>
      </c>
      <c r="C127" t="str">
        <f>"9783110265941"</f>
        <v>9783110265941</v>
      </c>
      <c r="D127" t="str">
        <f>"9783110370324"</f>
        <v>9783110370324</v>
      </c>
      <c r="E127" t="s">
        <v>270</v>
      </c>
      <c r="F127" s="1">
        <v>41715</v>
      </c>
      <c r="G127" t="s">
        <v>737</v>
      </c>
      <c r="H127" t="s">
        <v>139</v>
      </c>
      <c r="I127" t="s">
        <v>738</v>
      </c>
      <c r="J127">
        <v>930.1</v>
      </c>
      <c r="K127" t="s">
        <v>739</v>
      </c>
      <c r="L127" t="s">
        <v>20</v>
      </c>
      <c r="M127" t="s">
        <v>740</v>
      </c>
    </row>
    <row r="128" spans="1:13" x14ac:dyDescent="0.25">
      <c r="A128">
        <v>913346</v>
      </c>
      <c r="B128" t="s">
        <v>741</v>
      </c>
      <c r="C128" t="str">
        <f>"9783110258905"</f>
        <v>9783110258905</v>
      </c>
      <c r="D128" t="str">
        <f>"9783110258912"</f>
        <v>9783110258912</v>
      </c>
      <c r="E128" t="s">
        <v>270</v>
      </c>
      <c r="F128" s="1">
        <v>41415</v>
      </c>
      <c r="G128" t="s">
        <v>742</v>
      </c>
      <c r="H128" t="s">
        <v>743</v>
      </c>
      <c r="I128" t="s">
        <v>744</v>
      </c>
      <c r="J128">
        <v>930</v>
      </c>
      <c r="K128" t="s">
        <v>745</v>
      </c>
      <c r="L128" t="s">
        <v>291</v>
      </c>
      <c r="M128" t="s">
        <v>746</v>
      </c>
    </row>
    <row r="129" spans="1:13" x14ac:dyDescent="0.25">
      <c r="A129">
        <v>913372</v>
      </c>
      <c r="B129" t="s">
        <v>747</v>
      </c>
      <c r="C129" t="str">
        <f>"9783110276343"</f>
        <v>9783110276343</v>
      </c>
      <c r="D129" t="str">
        <f>"9783110278736"</f>
        <v>9783110278736</v>
      </c>
      <c r="E129" t="s">
        <v>350</v>
      </c>
      <c r="F129" s="1">
        <v>41534</v>
      </c>
      <c r="G129" t="s">
        <v>748</v>
      </c>
      <c r="H129" t="s">
        <v>749</v>
      </c>
      <c r="I129" t="s">
        <v>750</v>
      </c>
      <c r="J129" t="s">
        <v>751</v>
      </c>
      <c r="K129" t="s">
        <v>752</v>
      </c>
      <c r="L129" t="s">
        <v>291</v>
      </c>
      <c r="M129" t="s">
        <v>753</v>
      </c>
    </row>
    <row r="130" spans="1:13" x14ac:dyDescent="0.25">
      <c r="A130">
        <v>919818</v>
      </c>
      <c r="B130" t="s">
        <v>754</v>
      </c>
      <c r="C130" t="str">
        <f>"9783110295948"</f>
        <v>9783110295948</v>
      </c>
      <c r="D130" t="str">
        <f>"9783110296433"</f>
        <v>9783110296433</v>
      </c>
      <c r="E130" t="s">
        <v>270</v>
      </c>
      <c r="F130" s="1">
        <v>41348</v>
      </c>
      <c r="G130" t="s">
        <v>755</v>
      </c>
      <c r="H130" t="s">
        <v>495</v>
      </c>
      <c r="I130" t="s">
        <v>756</v>
      </c>
      <c r="J130">
        <v>327.43040000000002</v>
      </c>
      <c r="K130" t="s">
        <v>757</v>
      </c>
      <c r="L130" t="s">
        <v>291</v>
      </c>
      <c r="M130" t="s">
        <v>758</v>
      </c>
    </row>
    <row r="131" spans="1:13" x14ac:dyDescent="0.25">
      <c r="A131">
        <v>919841</v>
      </c>
      <c r="B131" t="s">
        <v>759</v>
      </c>
      <c r="C131" t="str">
        <f>"9783110200591"</f>
        <v>9783110200591</v>
      </c>
      <c r="D131" t="str">
        <f>"9783110227369"</f>
        <v>9783110227369</v>
      </c>
      <c r="E131" t="s">
        <v>270</v>
      </c>
      <c r="F131" s="1">
        <v>41870</v>
      </c>
      <c r="G131" t="s">
        <v>760</v>
      </c>
      <c r="H131" t="s">
        <v>453</v>
      </c>
      <c r="I131" t="s">
        <v>761</v>
      </c>
      <c r="J131">
        <v>323.64999999999998</v>
      </c>
      <c r="K131" t="s">
        <v>762</v>
      </c>
      <c r="L131" t="s">
        <v>20</v>
      </c>
      <c r="M131" t="s">
        <v>763</v>
      </c>
    </row>
    <row r="132" spans="1:13" x14ac:dyDescent="0.25">
      <c r="A132">
        <v>936984</v>
      </c>
      <c r="B132" t="s">
        <v>764</v>
      </c>
      <c r="C132" t="str">
        <f>"9783899493856"</f>
        <v>9783899493856</v>
      </c>
      <c r="D132" t="str">
        <f>"9783110914665"</f>
        <v>9783110914665</v>
      </c>
      <c r="E132" t="s">
        <v>270</v>
      </c>
      <c r="F132" s="1">
        <v>39170</v>
      </c>
      <c r="G132" t="s">
        <v>765</v>
      </c>
      <c r="H132" t="s">
        <v>766</v>
      </c>
      <c r="I132" t="s">
        <v>767</v>
      </c>
      <c r="J132" t="s">
        <v>768</v>
      </c>
      <c r="K132" t="s">
        <v>769</v>
      </c>
      <c r="L132" t="s">
        <v>291</v>
      </c>
      <c r="M132" t="s">
        <v>770</v>
      </c>
    </row>
    <row r="133" spans="1:13" x14ac:dyDescent="0.25">
      <c r="A133">
        <v>937321</v>
      </c>
      <c r="B133" t="s">
        <v>771</v>
      </c>
      <c r="C133" t="str">
        <f>"9783899492194"</f>
        <v>9783899492194</v>
      </c>
      <c r="D133" t="str">
        <f>"9783110895414"</f>
        <v>9783110895414</v>
      </c>
      <c r="E133" t="s">
        <v>270</v>
      </c>
      <c r="F133" s="1">
        <v>38497</v>
      </c>
      <c r="G133" t="s">
        <v>772</v>
      </c>
      <c r="H133" t="s">
        <v>773</v>
      </c>
      <c r="I133" t="s">
        <v>774</v>
      </c>
      <c r="J133" t="s">
        <v>775</v>
      </c>
      <c r="K133" t="s">
        <v>776</v>
      </c>
      <c r="L133" t="s">
        <v>291</v>
      </c>
      <c r="M133" t="s">
        <v>777</v>
      </c>
    </row>
    <row r="134" spans="1:13" x14ac:dyDescent="0.25">
      <c r="A134">
        <v>955842</v>
      </c>
      <c r="B134" t="s">
        <v>778</v>
      </c>
      <c r="C134" t="str">
        <f>"9783598251283"</f>
        <v>9783598251283</v>
      </c>
      <c r="D134" t="str">
        <f>"9783110298871"</f>
        <v>9783110298871</v>
      </c>
      <c r="E134" t="s">
        <v>270</v>
      </c>
      <c r="F134" s="1">
        <v>41593</v>
      </c>
      <c r="G134" t="s">
        <v>779</v>
      </c>
      <c r="H134" t="s">
        <v>780</v>
      </c>
      <c r="I134" t="s">
        <v>781</v>
      </c>
      <c r="J134">
        <v>300</v>
      </c>
      <c r="K134" t="s">
        <v>782</v>
      </c>
      <c r="L134" t="s">
        <v>291</v>
      </c>
      <c r="M134" t="s">
        <v>783</v>
      </c>
    </row>
    <row r="135" spans="1:13" x14ac:dyDescent="0.25">
      <c r="A135">
        <v>1046677</v>
      </c>
      <c r="B135" t="s">
        <v>784</v>
      </c>
      <c r="C135" t="str">
        <f>"9783110265903"</f>
        <v>9783110265903</v>
      </c>
      <c r="D135" t="str">
        <f>"9783110266887"</f>
        <v>9783110266887</v>
      </c>
      <c r="E135" t="s">
        <v>270</v>
      </c>
      <c r="F135" s="1">
        <v>41627</v>
      </c>
      <c r="G135" t="s">
        <v>785</v>
      </c>
      <c r="H135" t="s">
        <v>146</v>
      </c>
      <c r="I135" t="s">
        <v>786</v>
      </c>
      <c r="J135">
        <v>949.50199999999995</v>
      </c>
      <c r="K135" t="s">
        <v>787</v>
      </c>
      <c r="L135" t="s">
        <v>291</v>
      </c>
      <c r="M135" t="s">
        <v>788</v>
      </c>
    </row>
    <row r="136" spans="1:13" x14ac:dyDescent="0.25">
      <c r="A136">
        <v>1069475</v>
      </c>
      <c r="B136" t="s">
        <v>789</v>
      </c>
      <c r="C136" t="str">
        <f>"9780719057496"</f>
        <v>9780719057496</v>
      </c>
      <c r="D136" t="str">
        <f>"9781847791276"</f>
        <v>9781847791276</v>
      </c>
      <c r="E136" t="s">
        <v>14</v>
      </c>
      <c r="F136" s="1">
        <v>37455</v>
      </c>
      <c r="G136" t="s">
        <v>790</v>
      </c>
      <c r="H136" t="s">
        <v>139</v>
      </c>
      <c r="I136" t="s">
        <v>791</v>
      </c>
      <c r="J136">
        <v>941.5</v>
      </c>
      <c r="K136" t="s">
        <v>792</v>
      </c>
      <c r="L136" t="s">
        <v>20</v>
      </c>
      <c r="M136" t="s">
        <v>793</v>
      </c>
    </row>
    <row r="137" spans="1:13" x14ac:dyDescent="0.25">
      <c r="A137">
        <v>1069507</v>
      </c>
      <c r="B137" t="s">
        <v>794</v>
      </c>
      <c r="C137" t="str">
        <f>"9780719068782"</f>
        <v>9780719068782</v>
      </c>
      <c r="D137" t="str">
        <f>"9781847792723"</f>
        <v>9781847792723</v>
      </c>
      <c r="E137" t="s">
        <v>14</v>
      </c>
      <c r="F137" s="1">
        <v>38598</v>
      </c>
      <c r="G137" t="s">
        <v>795</v>
      </c>
      <c r="H137" t="s">
        <v>163</v>
      </c>
      <c r="I137" t="s">
        <v>796</v>
      </c>
      <c r="J137">
        <v>809.93358000000001</v>
      </c>
      <c r="K137" t="s">
        <v>797</v>
      </c>
      <c r="L137" t="s">
        <v>20</v>
      </c>
      <c r="M137" t="s">
        <v>798</v>
      </c>
    </row>
    <row r="138" spans="1:13" x14ac:dyDescent="0.25">
      <c r="A138">
        <v>1075567</v>
      </c>
      <c r="B138" t="s">
        <v>799</v>
      </c>
      <c r="C138" t="str">
        <f>"9783110310412"</f>
        <v>9783110310412</v>
      </c>
      <c r="D138" t="str">
        <f>"9783110310511"</f>
        <v>9783110310511</v>
      </c>
      <c r="E138" t="s">
        <v>350</v>
      </c>
      <c r="F138" s="1">
        <v>41988</v>
      </c>
      <c r="G138" t="s">
        <v>800</v>
      </c>
      <c r="H138" t="s">
        <v>272</v>
      </c>
      <c r="I138" t="s">
        <v>801</v>
      </c>
      <c r="J138">
        <v>20.285467799999999</v>
      </c>
      <c r="K138" t="s">
        <v>802</v>
      </c>
      <c r="L138" t="s">
        <v>291</v>
      </c>
      <c r="M138" t="s">
        <v>803</v>
      </c>
    </row>
    <row r="139" spans="1:13" x14ac:dyDescent="0.25">
      <c r="A139">
        <v>1075610</v>
      </c>
      <c r="B139" t="s">
        <v>804</v>
      </c>
      <c r="C139" t="str">
        <f>"9783110265026"</f>
        <v>9783110265026</v>
      </c>
      <c r="D139" t="str">
        <f>"9783110310351"</f>
        <v>9783110310351</v>
      </c>
      <c r="E139" t="s">
        <v>270</v>
      </c>
      <c r="F139" s="1">
        <v>41443</v>
      </c>
      <c r="G139" t="s">
        <v>805</v>
      </c>
      <c r="H139" t="s">
        <v>806</v>
      </c>
      <c r="I139" t="s">
        <v>807</v>
      </c>
      <c r="J139">
        <v>726.5</v>
      </c>
      <c r="K139" t="s">
        <v>808</v>
      </c>
      <c r="L139" t="s">
        <v>291</v>
      </c>
      <c r="M139" t="s">
        <v>809</v>
      </c>
    </row>
    <row r="140" spans="1:13" x14ac:dyDescent="0.25">
      <c r="A140">
        <v>1094221</v>
      </c>
      <c r="B140" t="s">
        <v>810</v>
      </c>
      <c r="C140" t="str">
        <f>"9783110312713"</f>
        <v>9783110312713</v>
      </c>
      <c r="D140" t="str">
        <f>"9783110312836"</f>
        <v>9783110312836</v>
      </c>
      <c r="E140" t="s">
        <v>350</v>
      </c>
      <c r="F140" s="1">
        <v>41876</v>
      </c>
      <c r="G140" t="s">
        <v>811</v>
      </c>
      <c r="H140" t="s">
        <v>272</v>
      </c>
      <c r="I140" t="s">
        <v>812</v>
      </c>
      <c r="J140">
        <v>26</v>
      </c>
      <c r="K140" t="s">
        <v>813</v>
      </c>
      <c r="L140" t="s">
        <v>291</v>
      </c>
      <c r="M140" t="s">
        <v>814</v>
      </c>
    </row>
    <row r="141" spans="1:13" x14ac:dyDescent="0.25">
      <c r="A141">
        <v>1108072</v>
      </c>
      <c r="B141" t="s">
        <v>815</v>
      </c>
      <c r="C141" t="str">
        <f>"9783110306675"</f>
        <v>9783110306675</v>
      </c>
      <c r="D141" t="str">
        <f>"9783110306897"</f>
        <v>9783110306897</v>
      </c>
      <c r="E141" t="s">
        <v>270</v>
      </c>
      <c r="F141" s="1">
        <v>41304</v>
      </c>
      <c r="G141" t="s">
        <v>816</v>
      </c>
      <c r="H141" t="s">
        <v>817</v>
      </c>
      <c r="I141" t="s">
        <v>818</v>
      </c>
      <c r="J141" t="s">
        <v>819</v>
      </c>
      <c r="K141" t="s">
        <v>820</v>
      </c>
      <c r="L141" t="s">
        <v>291</v>
      </c>
      <c r="M141" t="s">
        <v>821</v>
      </c>
    </row>
    <row r="142" spans="1:13" x14ac:dyDescent="0.25">
      <c r="A142">
        <v>1121564</v>
      </c>
      <c r="B142" t="s">
        <v>822</v>
      </c>
      <c r="C142" t="str">
        <f>"9783110295450"</f>
        <v>9783110295450</v>
      </c>
      <c r="D142" t="str">
        <f>"9783110295467"</f>
        <v>9783110295467</v>
      </c>
      <c r="E142" t="s">
        <v>270</v>
      </c>
      <c r="F142" s="1">
        <v>41443</v>
      </c>
      <c r="G142" t="s">
        <v>823</v>
      </c>
      <c r="H142" t="s">
        <v>126</v>
      </c>
      <c r="I142" t="s">
        <v>824</v>
      </c>
      <c r="J142">
        <v>304.60939999999999</v>
      </c>
      <c r="K142" t="s">
        <v>825</v>
      </c>
      <c r="L142" t="s">
        <v>20</v>
      </c>
      <c r="M142" t="s">
        <v>826</v>
      </c>
    </row>
    <row r="143" spans="1:13" x14ac:dyDescent="0.25">
      <c r="A143">
        <v>1121566</v>
      </c>
      <c r="B143" t="s">
        <v>827</v>
      </c>
      <c r="C143" t="str">
        <f>"9788376560076"</f>
        <v>9788376560076</v>
      </c>
      <c r="D143" t="str">
        <f>"9788376560083"</f>
        <v>9788376560083</v>
      </c>
      <c r="E143" t="s">
        <v>350</v>
      </c>
      <c r="F143" s="1">
        <v>41293</v>
      </c>
      <c r="G143" t="s">
        <v>828</v>
      </c>
      <c r="H143" t="s">
        <v>829</v>
      </c>
      <c r="I143" t="s">
        <v>830</v>
      </c>
      <c r="J143">
        <v>338.54</v>
      </c>
      <c r="K143" t="s">
        <v>831</v>
      </c>
      <c r="L143" t="s">
        <v>20</v>
      </c>
      <c r="M143" t="s">
        <v>832</v>
      </c>
    </row>
    <row r="144" spans="1:13" x14ac:dyDescent="0.25">
      <c r="A144">
        <v>1121606</v>
      </c>
      <c r="B144" t="s">
        <v>833</v>
      </c>
      <c r="C144" t="str">
        <f>"9783110314588"</f>
        <v>9783110314588</v>
      </c>
      <c r="D144" t="str">
        <f>"9783110314724"</f>
        <v>9783110314724</v>
      </c>
      <c r="E144" t="s">
        <v>270</v>
      </c>
      <c r="F144" s="1">
        <v>41505</v>
      </c>
      <c r="G144" t="s">
        <v>834</v>
      </c>
      <c r="H144" t="s">
        <v>495</v>
      </c>
      <c r="I144" t="s">
        <v>835</v>
      </c>
      <c r="J144">
        <v>320.54095694</v>
      </c>
      <c r="K144" t="s">
        <v>836</v>
      </c>
      <c r="L144" t="s">
        <v>20</v>
      </c>
      <c r="M144" t="s">
        <v>837</v>
      </c>
    </row>
    <row r="145" spans="1:13" x14ac:dyDescent="0.25">
      <c r="A145">
        <v>1130323</v>
      </c>
      <c r="B145" t="s">
        <v>838</v>
      </c>
      <c r="C145" t="str">
        <f>"9783110306224"</f>
        <v>9783110306224</v>
      </c>
      <c r="D145" t="str">
        <f>"9783110306422"</f>
        <v>9783110306422</v>
      </c>
      <c r="E145" t="s">
        <v>350</v>
      </c>
      <c r="F145" s="1">
        <v>41870</v>
      </c>
      <c r="G145" t="s">
        <v>839</v>
      </c>
      <c r="H145" t="s">
        <v>64</v>
      </c>
      <c r="I145" t="s">
        <v>840</v>
      </c>
      <c r="J145">
        <v>305.23500000000001</v>
      </c>
      <c r="K145" t="s">
        <v>841</v>
      </c>
      <c r="L145" t="s">
        <v>291</v>
      </c>
      <c r="M145" t="s">
        <v>842</v>
      </c>
    </row>
    <row r="146" spans="1:13" x14ac:dyDescent="0.25">
      <c r="A146">
        <v>1130369</v>
      </c>
      <c r="B146" t="s">
        <v>843</v>
      </c>
      <c r="C146" t="str">
        <f>"9783110301816"</f>
        <v>9783110301816</v>
      </c>
      <c r="D146" t="str">
        <f>"9783110301939"</f>
        <v>9783110301939</v>
      </c>
      <c r="E146" t="s">
        <v>270</v>
      </c>
      <c r="F146" s="1">
        <v>41443</v>
      </c>
      <c r="G146" t="s">
        <v>844</v>
      </c>
      <c r="H146" t="s">
        <v>845</v>
      </c>
      <c r="I146" t="s">
        <v>846</v>
      </c>
      <c r="J146">
        <v>707</v>
      </c>
      <c r="K146" t="s">
        <v>847</v>
      </c>
      <c r="L146" t="s">
        <v>291</v>
      </c>
      <c r="M146" t="s">
        <v>848</v>
      </c>
    </row>
    <row r="147" spans="1:13" x14ac:dyDescent="0.25">
      <c r="A147">
        <v>1139075</v>
      </c>
      <c r="B147" t="s">
        <v>849</v>
      </c>
      <c r="C147" t="str">
        <f>"9783110311174"</f>
        <v>9783110311174</v>
      </c>
      <c r="D147" t="str">
        <f>"9783110311358"</f>
        <v>9783110311358</v>
      </c>
      <c r="E147" t="s">
        <v>270</v>
      </c>
      <c r="F147" s="1">
        <v>41621</v>
      </c>
      <c r="G147" t="s">
        <v>850</v>
      </c>
      <c r="H147" t="s">
        <v>851</v>
      </c>
      <c r="I147" t="s">
        <v>852</v>
      </c>
      <c r="J147">
        <v>401.9</v>
      </c>
      <c r="K147" t="s">
        <v>853</v>
      </c>
      <c r="L147" t="s">
        <v>20</v>
      </c>
      <c r="M147" t="s">
        <v>854</v>
      </c>
    </row>
    <row r="148" spans="1:13" x14ac:dyDescent="0.25">
      <c r="A148">
        <v>1157178</v>
      </c>
      <c r="B148" t="s">
        <v>855</v>
      </c>
      <c r="C148" t="str">
        <f>"9783110319309"</f>
        <v>9783110319309</v>
      </c>
      <c r="D148" t="str">
        <f>"9783110319798"</f>
        <v>9783110319798</v>
      </c>
      <c r="E148" t="s">
        <v>270</v>
      </c>
      <c r="F148" s="1">
        <v>41564</v>
      </c>
      <c r="G148" t="s">
        <v>856</v>
      </c>
      <c r="H148" t="s">
        <v>139</v>
      </c>
      <c r="I148" t="s">
        <v>857</v>
      </c>
      <c r="J148">
        <v>943.00492399999996</v>
      </c>
      <c r="K148" t="s">
        <v>858</v>
      </c>
      <c r="L148" t="s">
        <v>291</v>
      </c>
      <c r="M148" t="s">
        <v>859</v>
      </c>
    </row>
    <row r="149" spans="1:13" x14ac:dyDescent="0.25">
      <c r="A149">
        <v>1157200</v>
      </c>
      <c r="B149" t="s">
        <v>860</v>
      </c>
      <c r="C149" t="str">
        <f>"9788376560021"</f>
        <v>9788376560021</v>
      </c>
      <c r="D149" t="str">
        <f>"9788376560014"</f>
        <v>9788376560014</v>
      </c>
      <c r="E149" t="s">
        <v>350</v>
      </c>
      <c r="F149" s="1">
        <v>41344</v>
      </c>
      <c r="G149" t="s">
        <v>861</v>
      </c>
      <c r="H149" t="s">
        <v>851</v>
      </c>
      <c r="I149" t="s">
        <v>862</v>
      </c>
      <c r="J149">
        <v>410</v>
      </c>
      <c r="K149" t="s">
        <v>863</v>
      </c>
      <c r="L149" t="s">
        <v>20</v>
      </c>
      <c r="M149" t="s">
        <v>864</v>
      </c>
    </row>
    <row r="150" spans="1:13" x14ac:dyDescent="0.25">
      <c r="A150">
        <v>1157244</v>
      </c>
      <c r="B150" t="s">
        <v>865</v>
      </c>
      <c r="C150" t="str">
        <f>"9788376560045"</f>
        <v>9788376560045</v>
      </c>
      <c r="D150" t="str">
        <f>"9788376560052"</f>
        <v>9788376560052</v>
      </c>
      <c r="E150" t="s">
        <v>350</v>
      </c>
      <c r="F150" s="1">
        <v>41341</v>
      </c>
      <c r="G150" t="s">
        <v>866</v>
      </c>
      <c r="H150" t="s">
        <v>246</v>
      </c>
      <c r="I150" t="s">
        <v>867</v>
      </c>
      <c r="J150">
        <v>700</v>
      </c>
      <c r="K150" t="s">
        <v>868</v>
      </c>
      <c r="L150" t="s">
        <v>20</v>
      </c>
      <c r="M150" t="s">
        <v>869</v>
      </c>
    </row>
    <row r="151" spans="1:13" x14ac:dyDescent="0.25">
      <c r="A151">
        <v>1164716</v>
      </c>
      <c r="B151" t="s">
        <v>870</v>
      </c>
      <c r="C151" t="str">
        <f>"9783110315912"</f>
        <v>9783110315912</v>
      </c>
      <c r="D151" t="str">
        <f>"9783110315981"</f>
        <v>9783110315981</v>
      </c>
      <c r="E151" t="s">
        <v>270</v>
      </c>
      <c r="F151" s="1">
        <v>41472</v>
      </c>
      <c r="G151" t="s">
        <v>871</v>
      </c>
      <c r="H151" t="s">
        <v>310</v>
      </c>
      <c r="I151" t="s">
        <v>872</v>
      </c>
      <c r="J151">
        <v>296.12400000000002</v>
      </c>
      <c r="K151" t="s">
        <v>873</v>
      </c>
      <c r="L151" t="s">
        <v>20</v>
      </c>
      <c r="M151" t="s">
        <v>874</v>
      </c>
    </row>
    <row r="152" spans="1:13" x14ac:dyDescent="0.25">
      <c r="A152">
        <v>1174172</v>
      </c>
      <c r="B152" t="s">
        <v>875</v>
      </c>
      <c r="C152" t="str">
        <f>"9788376560106"</f>
        <v>9788376560106</v>
      </c>
      <c r="D152" t="str">
        <f>"9788376560113"</f>
        <v>9788376560113</v>
      </c>
      <c r="E152" t="s">
        <v>350</v>
      </c>
      <c r="F152" s="1">
        <v>41452</v>
      </c>
      <c r="G152" t="s">
        <v>876</v>
      </c>
      <c r="H152" t="s">
        <v>877</v>
      </c>
      <c r="I152" t="s">
        <v>878</v>
      </c>
      <c r="J152">
        <v>720.47091722000005</v>
      </c>
      <c r="K152" t="s">
        <v>879</v>
      </c>
      <c r="L152" t="s">
        <v>20</v>
      </c>
      <c r="M152" t="s">
        <v>880</v>
      </c>
    </row>
    <row r="153" spans="1:13" x14ac:dyDescent="0.25">
      <c r="A153">
        <v>1184364</v>
      </c>
      <c r="B153" t="s">
        <v>881</v>
      </c>
      <c r="C153" t="str">
        <f>"9783110320022"</f>
        <v>9783110320022</v>
      </c>
      <c r="D153" t="str">
        <f>"9783110320268"</f>
        <v>9783110320268</v>
      </c>
      <c r="E153" t="s">
        <v>350</v>
      </c>
      <c r="F153" s="1">
        <v>41806</v>
      </c>
      <c r="G153" t="s">
        <v>882</v>
      </c>
      <c r="H153" t="s">
        <v>139</v>
      </c>
      <c r="I153" t="s">
        <v>883</v>
      </c>
      <c r="J153">
        <v>940.53179999999998</v>
      </c>
      <c r="K153" t="s">
        <v>884</v>
      </c>
      <c r="L153" t="s">
        <v>20</v>
      </c>
      <c r="M153" t="s">
        <v>885</v>
      </c>
    </row>
    <row r="154" spans="1:13" x14ac:dyDescent="0.25">
      <c r="A154">
        <v>1195380</v>
      </c>
      <c r="B154" t="s">
        <v>886</v>
      </c>
      <c r="C154" t="str">
        <f>"9783110325164"</f>
        <v>9783110325164</v>
      </c>
      <c r="D154" t="str">
        <f>"9783110325904"</f>
        <v>9783110325904</v>
      </c>
      <c r="E154" t="s">
        <v>270</v>
      </c>
      <c r="F154" s="1">
        <v>40892</v>
      </c>
      <c r="G154" t="s">
        <v>887</v>
      </c>
      <c r="H154" t="s">
        <v>16</v>
      </c>
      <c r="I154" t="s">
        <v>888</v>
      </c>
      <c r="J154">
        <v>149</v>
      </c>
      <c r="K154" t="s">
        <v>889</v>
      </c>
      <c r="L154" t="s">
        <v>20</v>
      </c>
      <c r="M154" t="s">
        <v>890</v>
      </c>
    </row>
    <row r="155" spans="1:13" x14ac:dyDescent="0.25">
      <c r="A155">
        <v>1195384</v>
      </c>
      <c r="B155" t="s">
        <v>891</v>
      </c>
      <c r="C155" t="str">
        <f>"9783110328592"</f>
        <v>9783110328592</v>
      </c>
      <c r="D155" t="str">
        <f>"9783110328912"</f>
        <v>9783110328912</v>
      </c>
      <c r="E155" t="s">
        <v>270</v>
      </c>
      <c r="F155" s="1">
        <v>38913</v>
      </c>
      <c r="G155" t="s">
        <v>892</v>
      </c>
      <c r="H155" t="s">
        <v>16</v>
      </c>
      <c r="I155" t="s">
        <v>893</v>
      </c>
      <c r="J155">
        <v>193</v>
      </c>
      <c r="K155" t="s">
        <v>894</v>
      </c>
      <c r="L155" t="s">
        <v>20</v>
      </c>
      <c r="M155" t="s">
        <v>895</v>
      </c>
    </row>
    <row r="156" spans="1:13" x14ac:dyDescent="0.25">
      <c r="A156">
        <v>1195385</v>
      </c>
      <c r="B156" t="s">
        <v>896</v>
      </c>
      <c r="C156" t="str">
        <f>"9783110328622"</f>
        <v>9783110328622</v>
      </c>
      <c r="D156" t="str">
        <f>"9783110328974"</f>
        <v>9783110328974</v>
      </c>
      <c r="E156" t="s">
        <v>270</v>
      </c>
      <c r="F156" s="1">
        <v>39248</v>
      </c>
      <c r="G156" t="s">
        <v>897</v>
      </c>
      <c r="H156" t="s">
        <v>780</v>
      </c>
      <c r="I156" t="s">
        <v>898</v>
      </c>
      <c r="J156">
        <v>306</v>
      </c>
      <c r="K156" t="s">
        <v>899</v>
      </c>
      <c r="L156" t="s">
        <v>20</v>
      </c>
      <c r="M156" t="s">
        <v>900</v>
      </c>
    </row>
    <row r="157" spans="1:13" x14ac:dyDescent="0.25">
      <c r="A157">
        <v>1195404</v>
      </c>
      <c r="B157" t="s">
        <v>901</v>
      </c>
      <c r="C157" t="str">
        <f>"9783110330199"</f>
        <v>9783110330199</v>
      </c>
      <c r="D157" t="str">
        <f>"9783110330595"</f>
        <v>9783110330595</v>
      </c>
      <c r="E157" t="s">
        <v>270</v>
      </c>
      <c r="F157" s="1">
        <v>40373</v>
      </c>
      <c r="G157" t="s">
        <v>902</v>
      </c>
      <c r="H157" t="s">
        <v>903</v>
      </c>
      <c r="I157" t="s">
        <v>904</v>
      </c>
      <c r="J157">
        <v>192</v>
      </c>
      <c r="K157" t="s">
        <v>905</v>
      </c>
      <c r="L157" t="s">
        <v>20</v>
      </c>
      <c r="M157" t="s">
        <v>906</v>
      </c>
    </row>
    <row r="158" spans="1:13" x14ac:dyDescent="0.25">
      <c r="A158">
        <v>1195405</v>
      </c>
      <c r="B158" t="s">
        <v>907</v>
      </c>
      <c r="C158" t="str">
        <f>"9783110333022"</f>
        <v>9783110333022</v>
      </c>
      <c r="D158" t="str">
        <f>"9783110333213"</f>
        <v>9783110333213</v>
      </c>
      <c r="E158" t="s">
        <v>270</v>
      </c>
      <c r="F158" s="1">
        <v>41396</v>
      </c>
      <c r="G158" t="s">
        <v>908</v>
      </c>
      <c r="H158" t="s">
        <v>909</v>
      </c>
      <c r="I158" t="s">
        <v>910</v>
      </c>
      <c r="J158">
        <v>153.75299999999999</v>
      </c>
      <c r="K158" t="s">
        <v>911</v>
      </c>
      <c r="L158" t="s">
        <v>20</v>
      </c>
      <c r="M158" t="s">
        <v>912</v>
      </c>
    </row>
    <row r="159" spans="1:13" x14ac:dyDescent="0.25">
      <c r="A159">
        <v>1195413</v>
      </c>
      <c r="B159" t="s">
        <v>913</v>
      </c>
      <c r="C159" t="str">
        <f>"9783110328639"</f>
        <v>9783110328639</v>
      </c>
      <c r="D159" t="str">
        <f>"9783110328998"</f>
        <v>9783110328998</v>
      </c>
      <c r="E159" t="s">
        <v>270</v>
      </c>
      <c r="F159" s="1">
        <v>39614</v>
      </c>
      <c r="G159" t="s">
        <v>914</v>
      </c>
      <c r="H159" t="s">
        <v>16</v>
      </c>
      <c r="I159" t="s">
        <v>915</v>
      </c>
      <c r="J159">
        <v>142.69999999999999</v>
      </c>
      <c r="K159" t="s">
        <v>916</v>
      </c>
      <c r="L159" t="s">
        <v>20</v>
      </c>
      <c r="M159" t="s">
        <v>917</v>
      </c>
    </row>
    <row r="160" spans="1:13" x14ac:dyDescent="0.25">
      <c r="A160">
        <v>1195435</v>
      </c>
      <c r="B160" t="s">
        <v>918</v>
      </c>
      <c r="C160" t="str">
        <f>"9783110329353"</f>
        <v>9783110329353</v>
      </c>
      <c r="D160" t="str">
        <f>"9783110329490"</f>
        <v>9783110329490</v>
      </c>
      <c r="E160" t="s">
        <v>270</v>
      </c>
      <c r="F160" s="1">
        <v>40115</v>
      </c>
      <c r="G160" t="s">
        <v>919</v>
      </c>
      <c r="H160" t="s">
        <v>16</v>
      </c>
      <c r="I160" t="s">
        <v>920</v>
      </c>
      <c r="J160">
        <v>193</v>
      </c>
      <c r="K160" t="s">
        <v>921</v>
      </c>
      <c r="L160" t="s">
        <v>291</v>
      </c>
      <c r="M160" t="s">
        <v>922</v>
      </c>
    </row>
    <row r="161" spans="1:13" x14ac:dyDescent="0.25">
      <c r="A161">
        <v>1195439</v>
      </c>
      <c r="B161" t="s">
        <v>923</v>
      </c>
      <c r="C161" t="str">
        <f>"9783110327267"</f>
        <v>9783110327267</v>
      </c>
      <c r="D161" t="str">
        <f>"9783110327496"</f>
        <v>9783110327496</v>
      </c>
      <c r="E161" t="s">
        <v>270</v>
      </c>
      <c r="F161" s="1">
        <v>38336</v>
      </c>
      <c r="G161" t="s">
        <v>924</v>
      </c>
      <c r="H161" t="s">
        <v>925</v>
      </c>
      <c r="I161" t="s">
        <v>926</v>
      </c>
      <c r="J161">
        <v>172.4</v>
      </c>
      <c r="K161" t="s">
        <v>927</v>
      </c>
      <c r="L161" t="s">
        <v>20</v>
      </c>
      <c r="M161" t="s">
        <v>928</v>
      </c>
    </row>
    <row r="162" spans="1:13" x14ac:dyDescent="0.25">
      <c r="A162">
        <v>1195442</v>
      </c>
      <c r="B162" t="s">
        <v>929</v>
      </c>
      <c r="C162" t="str">
        <f>"9783110326741"</f>
        <v>9783110326741</v>
      </c>
      <c r="D162" t="str">
        <f>"9783110327199"</f>
        <v>9783110327199</v>
      </c>
      <c r="E162" t="s">
        <v>270</v>
      </c>
      <c r="F162" s="1">
        <v>39938</v>
      </c>
      <c r="G162" t="s">
        <v>930</v>
      </c>
      <c r="H162" t="s">
        <v>931</v>
      </c>
      <c r="I162" t="s">
        <v>932</v>
      </c>
      <c r="J162">
        <v>100</v>
      </c>
      <c r="K162" t="s">
        <v>933</v>
      </c>
      <c r="L162" t="s">
        <v>20</v>
      </c>
      <c r="M162" t="s">
        <v>934</v>
      </c>
    </row>
    <row r="163" spans="1:13" x14ac:dyDescent="0.25">
      <c r="A163">
        <v>1195459</v>
      </c>
      <c r="B163" t="s">
        <v>935</v>
      </c>
      <c r="C163" t="str">
        <f>"9783110330120"</f>
        <v>9783110330120</v>
      </c>
      <c r="D163" t="str">
        <f>"9783110330496"</f>
        <v>9783110330496</v>
      </c>
      <c r="E163" t="s">
        <v>270</v>
      </c>
      <c r="F163" s="1">
        <v>40754</v>
      </c>
      <c r="G163" t="s">
        <v>936</v>
      </c>
      <c r="H163" t="s">
        <v>903</v>
      </c>
      <c r="I163" t="s">
        <v>937</v>
      </c>
      <c r="J163">
        <v>192</v>
      </c>
      <c r="K163" t="s">
        <v>938</v>
      </c>
      <c r="L163" t="s">
        <v>20</v>
      </c>
      <c r="M163" t="s">
        <v>939</v>
      </c>
    </row>
    <row r="164" spans="1:13" x14ac:dyDescent="0.25">
      <c r="A164">
        <v>1195474</v>
      </c>
      <c r="B164" t="s">
        <v>940</v>
      </c>
      <c r="C164" t="str">
        <f>"9783110328097"</f>
        <v>9783110328097</v>
      </c>
      <c r="D164" t="str">
        <f>"9783110328509"</f>
        <v>9783110328509</v>
      </c>
      <c r="E164" t="s">
        <v>270</v>
      </c>
      <c r="F164" s="1">
        <v>39871</v>
      </c>
      <c r="G164" t="s">
        <v>941</v>
      </c>
      <c r="H164" t="s">
        <v>16</v>
      </c>
      <c r="I164" t="s">
        <v>942</v>
      </c>
      <c r="J164">
        <v>121.68</v>
      </c>
      <c r="K164" t="s">
        <v>943</v>
      </c>
      <c r="L164" t="s">
        <v>291</v>
      </c>
      <c r="M164" t="s">
        <v>944</v>
      </c>
    </row>
    <row r="165" spans="1:13" x14ac:dyDescent="0.25">
      <c r="A165">
        <v>1195486</v>
      </c>
      <c r="B165" t="s">
        <v>945</v>
      </c>
      <c r="C165" t="str">
        <f>"9783110330137"</f>
        <v>9783110330137</v>
      </c>
      <c r="D165" t="str">
        <f>"9783110330519"</f>
        <v>9783110330519</v>
      </c>
      <c r="E165" t="s">
        <v>270</v>
      </c>
      <c r="F165" s="1">
        <v>40754</v>
      </c>
      <c r="G165" t="s">
        <v>936</v>
      </c>
      <c r="H165" t="s">
        <v>16</v>
      </c>
      <c r="I165" t="s">
        <v>946</v>
      </c>
      <c r="J165">
        <v>192</v>
      </c>
      <c r="K165" t="s">
        <v>947</v>
      </c>
      <c r="L165" t="s">
        <v>20</v>
      </c>
      <c r="M165" t="s">
        <v>948</v>
      </c>
    </row>
    <row r="166" spans="1:13" x14ac:dyDescent="0.25">
      <c r="A166">
        <v>1195506</v>
      </c>
      <c r="B166" t="s">
        <v>949</v>
      </c>
      <c r="C166" t="str">
        <f>"9783110330182"</f>
        <v>9783110330182</v>
      </c>
      <c r="D166" t="str">
        <f>"9783110330571"</f>
        <v>9783110330571</v>
      </c>
      <c r="E166" t="s">
        <v>270</v>
      </c>
      <c r="F166" s="1">
        <v>40373</v>
      </c>
      <c r="G166" t="s">
        <v>950</v>
      </c>
      <c r="H166" t="s">
        <v>951</v>
      </c>
      <c r="I166" t="s">
        <v>904</v>
      </c>
      <c r="J166">
        <v>362.82920973</v>
      </c>
      <c r="K166" t="s">
        <v>905</v>
      </c>
      <c r="L166" t="s">
        <v>20</v>
      </c>
      <c r="M166" t="s">
        <v>952</v>
      </c>
    </row>
    <row r="167" spans="1:13" x14ac:dyDescent="0.25">
      <c r="A167">
        <v>1195512</v>
      </c>
      <c r="B167" t="s">
        <v>953</v>
      </c>
      <c r="C167" t="str">
        <f>"9783110328530"</f>
        <v>9783110328530</v>
      </c>
      <c r="D167" t="str">
        <f>"9783110328837"</f>
        <v>9783110328837</v>
      </c>
      <c r="E167" t="s">
        <v>270</v>
      </c>
      <c r="F167" s="1">
        <v>40905</v>
      </c>
      <c r="G167" t="s">
        <v>954</v>
      </c>
      <c r="H167" t="s">
        <v>955</v>
      </c>
      <c r="I167" t="s">
        <v>956</v>
      </c>
      <c r="J167">
        <v>401</v>
      </c>
      <c r="K167" t="s">
        <v>957</v>
      </c>
      <c r="L167" t="s">
        <v>291</v>
      </c>
      <c r="M167" t="s">
        <v>958</v>
      </c>
    </row>
    <row r="168" spans="1:13" x14ac:dyDescent="0.25">
      <c r="A168">
        <v>1195514</v>
      </c>
      <c r="B168" t="s">
        <v>959</v>
      </c>
      <c r="C168" t="str">
        <f>"9783110328608"</f>
        <v>9783110328608</v>
      </c>
      <c r="D168" t="str">
        <f>"9783110328936"</f>
        <v>9783110328936</v>
      </c>
      <c r="E168" t="s">
        <v>270</v>
      </c>
      <c r="F168" s="1">
        <v>39217</v>
      </c>
      <c r="G168" t="s">
        <v>960</v>
      </c>
      <c r="H168" t="s">
        <v>961</v>
      </c>
      <c r="I168" t="s">
        <v>962</v>
      </c>
      <c r="J168">
        <v>306</v>
      </c>
      <c r="K168" t="s">
        <v>963</v>
      </c>
      <c r="L168" t="s">
        <v>20</v>
      </c>
      <c r="M168" t="s">
        <v>964</v>
      </c>
    </row>
    <row r="169" spans="1:13" x14ac:dyDescent="0.25">
      <c r="A169">
        <v>1195535</v>
      </c>
      <c r="B169" t="s">
        <v>965</v>
      </c>
      <c r="C169" t="str">
        <f>"9783110326635"</f>
        <v>9783110326635</v>
      </c>
      <c r="D169" t="str">
        <f>"9783110326970"</f>
        <v>9783110326970</v>
      </c>
      <c r="E169" t="s">
        <v>270</v>
      </c>
      <c r="F169" s="1">
        <v>39128</v>
      </c>
      <c r="G169" t="s">
        <v>966</v>
      </c>
      <c r="H169" t="s">
        <v>16</v>
      </c>
      <c r="I169" t="s">
        <v>967</v>
      </c>
      <c r="J169">
        <v>121.68600000000001</v>
      </c>
      <c r="K169" t="s">
        <v>968</v>
      </c>
      <c r="L169" t="s">
        <v>20</v>
      </c>
      <c r="M169" t="s">
        <v>969</v>
      </c>
    </row>
    <row r="170" spans="1:13" x14ac:dyDescent="0.25">
      <c r="A170">
        <v>1195545</v>
      </c>
      <c r="B170" t="s">
        <v>970</v>
      </c>
      <c r="C170" t="str">
        <f>"9783110328073"</f>
        <v>9783110328073</v>
      </c>
      <c r="D170" t="str">
        <f>"9783110328462"</f>
        <v>9783110328462</v>
      </c>
      <c r="E170" t="s">
        <v>270</v>
      </c>
      <c r="F170" s="1">
        <v>39644</v>
      </c>
      <c r="G170" t="s">
        <v>971</v>
      </c>
      <c r="H170" t="s">
        <v>972</v>
      </c>
      <c r="I170" t="s">
        <v>973</v>
      </c>
      <c r="J170">
        <v>121</v>
      </c>
      <c r="K170" t="s">
        <v>974</v>
      </c>
      <c r="L170" t="s">
        <v>20</v>
      </c>
      <c r="M170" t="s">
        <v>975</v>
      </c>
    </row>
    <row r="171" spans="1:13" x14ac:dyDescent="0.25">
      <c r="A171">
        <v>1195546</v>
      </c>
      <c r="B171" t="s">
        <v>976</v>
      </c>
      <c r="C171" t="str">
        <f>"9783110328080"</f>
        <v>9783110328080</v>
      </c>
      <c r="D171" t="str">
        <f>"9783110328486"</f>
        <v>9783110328486</v>
      </c>
      <c r="E171" t="s">
        <v>270</v>
      </c>
      <c r="F171" s="1">
        <v>39644</v>
      </c>
      <c r="G171" t="s">
        <v>977</v>
      </c>
      <c r="H171" t="s">
        <v>961</v>
      </c>
      <c r="I171" t="s">
        <v>978</v>
      </c>
      <c r="J171">
        <v>121</v>
      </c>
      <c r="K171" t="s">
        <v>979</v>
      </c>
      <c r="L171" t="s">
        <v>20</v>
      </c>
      <c r="M171" t="s">
        <v>980</v>
      </c>
    </row>
    <row r="172" spans="1:13" x14ac:dyDescent="0.25">
      <c r="A172">
        <v>1195558</v>
      </c>
      <c r="B172" t="s">
        <v>981</v>
      </c>
      <c r="C172" t="str">
        <f>"9783110324501"</f>
        <v>9783110324501</v>
      </c>
      <c r="D172" t="str">
        <f>"9783110324860"</f>
        <v>9783110324860</v>
      </c>
      <c r="E172" t="s">
        <v>270</v>
      </c>
      <c r="F172" s="1">
        <v>39614</v>
      </c>
      <c r="G172" t="s">
        <v>982</v>
      </c>
      <c r="H172" t="s">
        <v>16</v>
      </c>
      <c r="I172" t="s">
        <v>983</v>
      </c>
      <c r="J172">
        <v>111</v>
      </c>
      <c r="K172" t="s">
        <v>984</v>
      </c>
      <c r="L172" t="s">
        <v>20</v>
      </c>
      <c r="M172" t="s">
        <v>985</v>
      </c>
    </row>
    <row r="173" spans="1:13" x14ac:dyDescent="0.25">
      <c r="A173">
        <v>1195561</v>
      </c>
      <c r="B173" t="s">
        <v>986</v>
      </c>
      <c r="C173" t="str">
        <f>"9783110326758"</f>
        <v>9783110326758</v>
      </c>
      <c r="D173" t="str">
        <f>"9783110327212"</f>
        <v>9783110327212</v>
      </c>
      <c r="E173" t="s">
        <v>270</v>
      </c>
      <c r="F173" s="1">
        <v>38457</v>
      </c>
      <c r="G173" t="s">
        <v>987</v>
      </c>
      <c r="H173" t="s">
        <v>16</v>
      </c>
      <c r="I173" t="s">
        <v>988</v>
      </c>
      <c r="J173">
        <v>113.8</v>
      </c>
      <c r="K173" t="s">
        <v>989</v>
      </c>
      <c r="L173" t="s">
        <v>291</v>
      </c>
      <c r="M173" t="s">
        <v>990</v>
      </c>
    </row>
    <row r="174" spans="1:13" x14ac:dyDescent="0.25">
      <c r="A174">
        <v>1195574</v>
      </c>
      <c r="B174" t="s">
        <v>991</v>
      </c>
      <c r="C174" t="str">
        <f>"9783110325201"</f>
        <v>9783110325201</v>
      </c>
      <c r="D174" t="str">
        <f>"9783110325980"</f>
        <v>9783110325980</v>
      </c>
      <c r="E174" t="s">
        <v>270</v>
      </c>
      <c r="F174" s="1">
        <v>39729</v>
      </c>
      <c r="G174" t="s">
        <v>992</v>
      </c>
      <c r="H174" t="s">
        <v>16</v>
      </c>
      <c r="I174" t="s">
        <v>993</v>
      </c>
      <c r="J174">
        <v>111</v>
      </c>
      <c r="K174" t="s">
        <v>994</v>
      </c>
      <c r="L174" t="s">
        <v>20</v>
      </c>
      <c r="M174" t="s">
        <v>995</v>
      </c>
    </row>
    <row r="175" spans="1:13" x14ac:dyDescent="0.25">
      <c r="A175">
        <v>1205493</v>
      </c>
      <c r="B175" t="s">
        <v>996</v>
      </c>
      <c r="C175" t="str">
        <f>"9789004235700"</f>
        <v>9789004235700</v>
      </c>
      <c r="D175" t="str">
        <f>"9789004248168"</f>
        <v>9789004248168</v>
      </c>
      <c r="E175" t="s">
        <v>997</v>
      </c>
      <c r="F175" s="1">
        <v>41411</v>
      </c>
      <c r="G175" t="s">
        <v>998</v>
      </c>
      <c r="H175" t="s">
        <v>999</v>
      </c>
      <c r="I175" t="s">
        <v>1000</v>
      </c>
      <c r="J175" t="s">
        <v>1001</v>
      </c>
      <c r="K175" t="s">
        <v>1002</v>
      </c>
      <c r="L175" t="s">
        <v>20</v>
      </c>
      <c r="M175" t="s">
        <v>1003</v>
      </c>
    </row>
    <row r="176" spans="1:13" x14ac:dyDescent="0.25">
      <c r="A176">
        <v>1209316</v>
      </c>
      <c r="B176" t="s">
        <v>1004</v>
      </c>
      <c r="C176" t="str">
        <f>"9783110322262"</f>
        <v>9783110322262</v>
      </c>
      <c r="D176" t="str">
        <f>"9783110322644"</f>
        <v>9783110322644</v>
      </c>
      <c r="E176" t="s">
        <v>270</v>
      </c>
      <c r="F176" s="1">
        <v>40709</v>
      </c>
      <c r="G176" t="s">
        <v>1005</v>
      </c>
      <c r="H176" t="s">
        <v>16</v>
      </c>
      <c r="I176" t="s">
        <v>1006</v>
      </c>
      <c r="J176">
        <v>111</v>
      </c>
      <c r="K176" t="s">
        <v>1007</v>
      </c>
      <c r="L176" t="s">
        <v>291</v>
      </c>
      <c r="M176" t="s">
        <v>1008</v>
      </c>
    </row>
    <row r="177" spans="1:13" x14ac:dyDescent="0.25">
      <c r="A177">
        <v>1209317</v>
      </c>
      <c r="B177" t="s">
        <v>1009</v>
      </c>
      <c r="C177" t="str">
        <f>"9783110322316"</f>
        <v>9783110322316</v>
      </c>
      <c r="D177" t="str">
        <f>"9783110322743"</f>
        <v>9783110322743</v>
      </c>
      <c r="E177" t="s">
        <v>270</v>
      </c>
      <c r="F177" s="1">
        <v>37483</v>
      </c>
      <c r="G177" t="s">
        <v>1010</v>
      </c>
      <c r="H177" t="s">
        <v>1011</v>
      </c>
      <c r="I177" t="s">
        <v>1012</v>
      </c>
      <c r="J177">
        <v>111</v>
      </c>
      <c r="K177" t="s">
        <v>1013</v>
      </c>
      <c r="L177" t="s">
        <v>291</v>
      </c>
      <c r="M177" t="s">
        <v>1014</v>
      </c>
    </row>
    <row r="178" spans="1:13" x14ac:dyDescent="0.25">
      <c r="A178">
        <v>1209342</v>
      </c>
      <c r="B178" t="s">
        <v>1015</v>
      </c>
      <c r="C178" t="str">
        <f>"9783110322309"</f>
        <v>9783110322309</v>
      </c>
      <c r="D178" t="str">
        <f>"9783110322729"</f>
        <v>9783110322729</v>
      </c>
      <c r="E178" t="s">
        <v>270</v>
      </c>
      <c r="F178" s="1">
        <v>41167</v>
      </c>
      <c r="G178" t="s">
        <v>1016</v>
      </c>
      <c r="H178" t="s">
        <v>16</v>
      </c>
      <c r="I178" t="s">
        <v>1017</v>
      </c>
      <c r="J178">
        <v>121</v>
      </c>
      <c r="K178" t="s">
        <v>1018</v>
      </c>
      <c r="L178" t="s">
        <v>291</v>
      </c>
      <c r="M178" t="s">
        <v>1019</v>
      </c>
    </row>
    <row r="179" spans="1:13" x14ac:dyDescent="0.25">
      <c r="A179">
        <v>1209346</v>
      </c>
      <c r="B179" t="s">
        <v>1020</v>
      </c>
      <c r="C179" t="str">
        <f>"9783110325133"</f>
        <v>9783110325133</v>
      </c>
      <c r="D179" t="str">
        <f>"9783110325843"</f>
        <v>9783110325843</v>
      </c>
      <c r="E179" t="s">
        <v>270</v>
      </c>
      <c r="F179" s="1">
        <v>41214</v>
      </c>
      <c r="G179" t="s">
        <v>1021</v>
      </c>
      <c r="H179" t="s">
        <v>16</v>
      </c>
      <c r="I179" t="s">
        <v>1022</v>
      </c>
      <c r="J179">
        <v>120</v>
      </c>
      <c r="K179" t="s">
        <v>1023</v>
      </c>
      <c r="L179" t="s">
        <v>20</v>
      </c>
      <c r="M179" t="s">
        <v>1024</v>
      </c>
    </row>
    <row r="180" spans="1:13" x14ac:dyDescent="0.25">
      <c r="A180">
        <v>1209347</v>
      </c>
      <c r="B180" t="s">
        <v>1025</v>
      </c>
      <c r="C180" t="str">
        <f>"9783110325263"</f>
        <v>9783110325263</v>
      </c>
      <c r="D180" t="str">
        <f>"9783110326109"</f>
        <v>9783110326109</v>
      </c>
      <c r="E180" t="s">
        <v>270</v>
      </c>
      <c r="F180" s="1">
        <v>40231</v>
      </c>
      <c r="G180" t="s">
        <v>1026</v>
      </c>
      <c r="H180" t="s">
        <v>16</v>
      </c>
      <c r="I180" t="s">
        <v>1027</v>
      </c>
      <c r="J180">
        <v>111</v>
      </c>
      <c r="K180" t="s">
        <v>989</v>
      </c>
      <c r="L180" t="s">
        <v>20</v>
      </c>
      <c r="M180" t="s">
        <v>1028</v>
      </c>
    </row>
    <row r="181" spans="1:13" x14ac:dyDescent="0.25">
      <c r="A181">
        <v>1215533</v>
      </c>
      <c r="B181" t="s">
        <v>1029</v>
      </c>
      <c r="C181" t="str">
        <f>"9783110319996"</f>
        <v>9783110319996</v>
      </c>
      <c r="D181" t="str">
        <f>"9783110320206"</f>
        <v>9783110320206</v>
      </c>
      <c r="E181" t="s">
        <v>270</v>
      </c>
      <c r="F181" s="1">
        <v>40983</v>
      </c>
      <c r="G181" t="s">
        <v>966</v>
      </c>
      <c r="H181" t="s">
        <v>16</v>
      </c>
      <c r="I181" t="s">
        <v>1030</v>
      </c>
      <c r="K181" t="s">
        <v>1031</v>
      </c>
      <c r="L181" t="s">
        <v>20</v>
      </c>
      <c r="M181" t="s">
        <v>1032</v>
      </c>
    </row>
    <row r="182" spans="1:13" x14ac:dyDescent="0.25">
      <c r="A182">
        <v>1215551</v>
      </c>
      <c r="B182" t="s">
        <v>1033</v>
      </c>
      <c r="C182" t="str">
        <f>"9783110321050"</f>
        <v>9783110321050</v>
      </c>
      <c r="D182" t="str">
        <f>"9783110321364"</f>
        <v>9783110321364</v>
      </c>
      <c r="E182" t="s">
        <v>270</v>
      </c>
      <c r="F182" s="1">
        <v>39522</v>
      </c>
      <c r="G182" t="s">
        <v>1034</v>
      </c>
      <c r="H182" t="s">
        <v>266</v>
      </c>
      <c r="I182" t="s">
        <v>1035</v>
      </c>
      <c r="J182">
        <v>610.1</v>
      </c>
      <c r="K182" t="s">
        <v>1036</v>
      </c>
      <c r="L182" t="s">
        <v>20</v>
      </c>
      <c r="M182" t="s">
        <v>1037</v>
      </c>
    </row>
    <row r="183" spans="1:13" x14ac:dyDescent="0.25">
      <c r="A183">
        <v>1215560</v>
      </c>
      <c r="B183" t="s">
        <v>1038</v>
      </c>
      <c r="C183" t="str">
        <f>"9783110322224"</f>
        <v>9783110322224</v>
      </c>
      <c r="D183" t="str">
        <f>"9783110322569"</f>
        <v>9783110322569</v>
      </c>
      <c r="E183" t="s">
        <v>270</v>
      </c>
      <c r="F183" s="1">
        <v>40589</v>
      </c>
      <c r="G183" t="s">
        <v>1039</v>
      </c>
      <c r="H183" t="s">
        <v>1040</v>
      </c>
      <c r="I183" t="s">
        <v>1041</v>
      </c>
      <c r="J183">
        <v>128.30000000000001</v>
      </c>
      <c r="K183" t="s">
        <v>1042</v>
      </c>
      <c r="L183" t="s">
        <v>291</v>
      </c>
      <c r="M183" t="s">
        <v>1043</v>
      </c>
    </row>
    <row r="184" spans="1:13" x14ac:dyDescent="0.25">
      <c r="A184">
        <v>1215562</v>
      </c>
      <c r="B184" t="s">
        <v>1044</v>
      </c>
      <c r="C184" t="str">
        <f>"9783110322286"</f>
        <v>9783110322286</v>
      </c>
      <c r="D184" t="str">
        <f>"9783110322682"</f>
        <v>9783110322682</v>
      </c>
      <c r="E184" t="s">
        <v>270</v>
      </c>
      <c r="F184" s="1">
        <v>41014</v>
      </c>
      <c r="G184" t="s">
        <v>1045</v>
      </c>
      <c r="H184" t="s">
        <v>16</v>
      </c>
      <c r="I184" t="s">
        <v>1046</v>
      </c>
      <c r="J184">
        <v>149.94</v>
      </c>
      <c r="K184" t="s">
        <v>1047</v>
      </c>
      <c r="L184" t="s">
        <v>291</v>
      </c>
      <c r="M184" t="s">
        <v>1048</v>
      </c>
    </row>
    <row r="185" spans="1:13" x14ac:dyDescent="0.25">
      <c r="A185">
        <v>1215563</v>
      </c>
      <c r="B185" t="s">
        <v>1049</v>
      </c>
      <c r="C185" t="str">
        <f>"9783110322293"</f>
        <v>9783110322293</v>
      </c>
      <c r="D185" t="str">
        <f>"9783110322705"</f>
        <v>9783110322705</v>
      </c>
      <c r="E185" t="s">
        <v>270</v>
      </c>
      <c r="F185" s="1">
        <v>41014</v>
      </c>
      <c r="G185" t="s">
        <v>1050</v>
      </c>
      <c r="H185" t="s">
        <v>16</v>
      </c>
      <c r="I185" t="s">
        <v>1051</v>
      </c>
      <c r="J185">
        <v>149.94</v>
      </c>
      <c r="K185" t="s">
        <v>1052</v>
      </c>
      <c r="L185" t="s">
        <v>20</v>
      </c>
      <c r="M185" t="s">
        <v>1053</v>
      </c>
    </row>
    <row r="186" spans="1:13" x14ac:dyDescent="0.25">
      <c r="A186">
        <v>1215569</v>
      </c>
      <c r="B186" t="s">
        <v>1054</v>
      </c>
      <c r="C186" t="str">
        <f>"9783110322866"</f>
        <v>9783110322866</v>
      </c>
      <c r="D186" t="str">
        <f>"9783110323306"</f>
        <v>9783110323306</v>
      </c>
      <c r="E186" t="s">
        <v>270</v>
      </c>
      <c r="F186" s="1">
        <v>38944</v>
      </c>
      <c r="G186" t="s">
        <v>1055</v>
      </c>
      <c r="H186" t="s">
        <v>1056</v>
      </c>
      <c r="I186" t="s">
        <v>1057</v>
      </c>
      <c r="J186">
        <v>530.1</v>
      </c>
      <c r="K186" t="s">
        <v>1058</v>
      </c>
      <c r="L186" t="s">
        <v>20</v>
      </c>
      <c r="M186" t="s">
        <v>1059</v>
      </c>
    </row>
    <row r="187" spans="1:13" x14ac:dyDescent="0.25">
      <c r="A187">
        <v>1215571</v>
      </c>
      <c r="B187" t="s">
        <v>1060</v>
      </c>
      <c r="C187" t="str">
        <f>"9783110322880"</f>
        <v>9783110322880</v>
      </c>
      <c r="D187" t="str">
        <f>"9783110323344"</f>
        <v>9783110323344</v>
      </c>
      <c r="E187" t="s">
        <v>270</v>
      </c>
      <c r="F187" s="1">
        <v>39156</v>
      </c>
      <c r="G187" t="s">
        <v>1061</v>
      </c>
      <c r="H187" t="s">
        <v>1062</v>
      </c>
      <c r="I187" t="s">
        <v>1063</v>
      </c>
      <c r="J187">
        <v>110</v>
      </c>
      <c r="K187" t="s">
        <v>1064</v>
      </c>
      <c r="L187" t="s">
        <v>291</v>
      </c>
      <c r="M187" t="s">
        <v>1065</v>
      </c>
    </row>
    <row r="188" spans="1:13" x14ac:dyDescent="0.25">
      <c r="A188">
        <v>1215593</v>
      </c>
      <c r="B188" t="s">
        <v>1066</v>
      </c>
      <c r="C188" t="str">
        <f>"9783110325171"</f>
        <v>9783110325171</v>
      </c>
      <c r="D188" t="str">
        <f>"9783110325928"</f>
        <v>9783110325928</v>
      </c>
      <c r="E188" t="s">
        <v>270</v>
      </c>
      <c r="F188" s="1">
        <v>41320</v>
      </c>
      <c r="G188" t="s">
        <v>1067</v>
      </c>
      <c r="H188" t="s">
        <v>1056</v>
      </c>
      <c r="I188" t="s">
        <v>1068</v>
      </c>
      <c r="J188">
        <v>530.1</v>
      </c>
      <c r="K188" t="s">
        <v>1069</v>
      </c>
      <c r="L188" t="s">
        <v>20</v>
      </c>
      <c r="M188" t="s">
        <v>1070</v>
      </c>
    </row>
    <row r="189" spans="1:13" x14ac:dyDescent="0.25">
      <c r="A189">
        <v>1215602</v>
      </c>
      <c r="B189" t="s">
        <v>1071</v>
      </c>
      <c r="C189" t="str">
        <f>"9783110326536"</f>
        <v>9783110326536</v>
      </c>
      <c r="D189" t="str">
        <f>"9783110326857"</f>
        <v>9783110326857</v>
      </c>
      <c r="E189" t="s">
        <v>270</v>
      </c>
      <c r="F189" s="1">
        <v>38183</v>
      </c>
      <c r="G189" t="s">
        <v>1072</v>
      </c>
      <c r="H189" t="s">
        <v>903</v>
      </c>
      <c r="I189" t="s">
        <v>1073</v>
      </c>
      <c r="J189">
        <v>415</v>
      </c>
      <c r="K189" t="s">
        <v>1074</v>
      </c>
      <c r="L189" t="s">
        <v>20</v>
      </c>
      <c r="M189" t="s">
        <v>1075</v>
      </c>
    </row>
    <row r="190" spans="1:13" x14ac:dyDescent="0.25">
      <c r="A190">
        <v>1215617</v>
      </c>
      <c r="B190" t="s">
        <v>1076</v>
      </c>
      <c r="C190" t="str">
        <f>"9783110328547"</f>
        <v>9783110328547</v>
      </c>
      <c r="D190" t="str">
        <f>"9783110328851"</f>
        <v>9783110328851</v>
      </c>
      <c r="E190" t="s">
        <v>270</v>
      </c>
      <c r="F190" s="1">
        <v>40016</v>
      </c>
      <c r="G190" t="s">
        <v>1077</v>
      </c>
      <c r="H190" t="s">
        <v>1078</v>
      </c>
      <c r="I190" t="s">
        <v>1079</v>
      </c>
      <c r="J190">
        <v>128.19999999999999</v>
      </c>
      <c r="K190" t="s">
        <v>1080</v>
      </c>
      <c r="L190" t="s">
        <v>20</v>
      </c>
      <c r="M190" t="s">
        <v>1081</v>
      </c>
    </row>
    <row r="191" spans="1:13" x14ac:dyDescent="0.25">
      <c r="A191">
        <v>1215618</v>
      </c>
      <c r="B191" t="s">
        <v>1082</v>
      </c>
      <c r="C191" t="str">
        <f>"9783110328578"</f>
        <v>9783110328578</v>
      </c>
      <c r="D191" t="str">
        <f>"9783110328875"</f>
        <v>9783110328875</v>
      </c>
      <c r="E191" t="s">
        <v>270</v>
      </c>
      <c r="F191" s="1">
        <v>40016</v>
      </c>
      <c r="G191" t="s">
        <v>1077</v>
      </c>
      <c r="H191" t="s">
        <v>16</v>
      </c>
      <c r="I191" t="s">
        <v>1083</v>
      </c>
      <c r="J191">
        <v>149.94</v>
      </c>
      <c r="K191" t="s">
        <v>1084</v>
      </c>
      <c r="L191" t="s">
        <v>20</v>
      </c>
      <c r="M191" t="s">
        <v>1085</v>
      </c>
    </row>
    <row r="192" spans="1:13" x14ac:dyDescent="0.25">
      <c r="A192">
        <v>1215619</v>
      </c>
      <c r="B192" t="s">
        <v>1086</v>
      </c>
      <c r="C192" t="str">
        <f>"9783110328523"</f>
        <v>9783110328523</v>
      </c>
      <c r="D192" t="str">
        <f>"9783110328813"</f>
        <v>9783110328813</v>
      </c>
      <c r="E192" t="s">
        <v>270</v>
      </c>
      <c r="F192" s="1">
        <v>39948</v>
      </c>
      <c r="G192" t="s">
        <v>1087</v>
      </c>
      <c r="H192" t="s">
        <v>16</v>
      </c>
      <c r="I192" t="s">
        <v>1088</v>
      </c>
      <c r="J192">
        <v>192</v>
      </c>
      <c r="K192" t="s">
        <v>1089</v>
      </c>
      <c r="L192" t="s">
        <v>20</v>
      </c>
      <c r="M192" t="s">
        <v>1090</v>
      </c>
    </row>
    <row r="193" spans="1:13" x14ac:dyDescent="0.25">
      <c r="A193">
        <v>1215623</v>
      </c>
      <c r="B193" t="s">
        <v>1091</v>
      </c>
      <c r="C193" t="str">
        <f>"9783110329346"</f>
        <v>9783110329346</v>
      </c>
      <c r="D193" t="str">
        <f>"9783110329476"</f>
        <v>9783110329476</v>
      </c>
      <c r="E193" t="s">
        <v>270</v>
      </c>
      <c r="F193" s="1">
        <v>40016</v>
      </c>
      <c r="G193" t="s">
        <v>1092</v>
      </c>
      <c r="H193" t="s">
        <v>931</v>
      </c>
      <c r="I193" t="s">
        <v>1093</v>
      </c>
      <c r="J193">
        <v>701.85</v>
      </c>
      <c r="K193" t="s">
        <v>1094</v>
      </c>
      <c r="L193" t="s">
        <v>291</v>
      </c>
      <c r="M193" t="s">
        <v>1095</v>
      </c>
    </row>
    <row r="194" spans="1:13" x14ac:dyDescent="0.25">
      <c r="A194">
        <v>1249741</v>
      </c>
      <c r="B194" t="s">
        <v>1096</v>
      </c>
      <c r="C194" t="str">
        <f>"9783110334357"</f>
        <v>9783110334357</v>
      </c>
      <c r="D194" t="str">
        <f>"9783110334395"</f>
        <v>9783110334395</v>
      </c>
      <c r="E194" t="s">
        <v>270</v>
      </c>
      <c r="F194" s="1">
        <v>41687</v>
      </c>
      <c r="G194" t="s">
        <v>1097</v>
      </c>
      <c r="H194" t="s">
        <v>1098</v>
      </c>
      <c r="I194" t="s">
        <v>1099</v>
      </c>
      <c r="J194">
        <v>200.9</v>
      </c>
      <c r="K194" t="s">
        <v>1100</v>
      </c>
      <c r="L194" t="s">
        <v>291</v>
      </c>
      <c r="M194" t="s">
        <v>1101</v>
      </c>
    </row>
    <row r="195" spans="1:13" x14ac:dyDescent="0.25">
      <c r="A195">
        <v>1249831</v>
      </c>
      <c r="B195" t="s">
        <v>1102</v>
      </c>
      <c r="C195" t="str">
        <f>"9788376560557"</f>
        <v>9788376560557</v>
      </c>
      <c r="D195" t="str">
        <f>"9788376560564"</f>
        <v>9788376560564</v>
      </c>
      <c r="E195" t="s">
        <v>350</v>
      </c>
      <c r="F195" s="1">
        <v>41610</v>
      </c>
      <c r="G195" t="s">
        <v>1103</v>
      </c>
      <c r="H195" t="s">
        <v>1104</v>
      </c>
      <c r="I195" t="s">
        <v>1105</v>
      </c>
      <c r="J195" t="s">
        <v>1106</v>
      </c>
      <c r="K195" t="s">
        <v>1107</v>
      </c>
      <c r="L195" t="s">
        <v>20</v>
      </c>
      <c r="M195" t="s">
        <v>1108</v>
      </c>
    </row>
    <row r="196" spans="1:13" x14ac:dyDescent="0.25">
      <c r="A196">
        <v>1249964</v>
      </c>
      <c r="B196" t="s">
        <v>1109</v>
      </c>
      <c r="C196" t="str">
        <f>"9783598251290"</f>
        <v>9783598251290</v>
      </c>
      <c r="D196" t="str">
        <f>"9783110298437"</f>
        <v>9783110298437</v>
      </c>
      <c r="E196" t="s">
        <v>350</v>
      </c>
      <c r="F196" s="1">
        <v>41772</v>
      </c>
      <c r="G196" t="s">
        <v>1110</v>
      </c>
      <c r="H196" t="s">
        <v>139</v>
      </c>
      <c r="I196" t="s">
        <v>1111</v>
      </c>
      <c r="J196">
        <v>943.08</v>
      </c>
      <c r="K196" t="s">
        <v>1112</v>
      </c>
      <c r="L196" t="s">
        <v>291</v>
      </c>
      <c r="M196" t="s">
        <v>1113</v>
      </c>
    </row>
    <row r="197" spans="1:13" x14ac:dyDescent="0.25">
      <c r="A197">
        <v>1249965</v>
      </c>
      <c r="B197" t="s">
        <v>1114</v>
      </c>
      <c r="C197" t="str">
        <f>"9788376560526"</f>
        <v>9788376560526</v>
      </c>
      <c r="D197" t="str">
        <f>"9788376560533"</f>
        <v>9788376560533</v>
      </c>
      <c r="E197" t="s">
        <v>350</v>
      </c>
      <c r="F197" s="1">
        <v>42089</v>
      </c>
      <c r="G197" t="s">
        <v>1115</v>
      </c>
      <c r="H197" t="s">
        <v>1116</v>
      </c>
      <c r="I197" t="s">
        <v>1117</v>
      </c>
      <c r="J197">
        <v>598.07231999999999</v>
      </c>
      <c r="K197" t="s">
        <v>1118</v>
      </c>
      <c r="L197" t="s">
        <v>20</v>
      </c>
      <c r="M197" t="s">
        <v>1119</v>
      </c>
    </row>
    <row r="198" spans="1:13" x14ac:dyDescent="0.25">
      <c r="A198">
        <v>1249968</v>
      </c>
      <c r="B198" t="s">
        <v>1120</v>
      </c>
      <c r="C198" t="str">
        <f>"9788376560403"</f>
        <v>9788376560403</v>
      </c>
      <c r="D198" t="str">
        <f>"9788376560410"</f>
        <v>9788376560410</v>
      </c>
      <c r="E198" t="s">
        <v>350</v>
      </c>
      <c r="F198" s="1">
        <v>41662</v>
      </c>
      <c r="G198" t="s">
        <v>1121</v>
      </c>
      <c r="H198" t="s">
        <v>126</v>
      </c>
      <c r="I198" t="s">
        <v>1122</v>
      </c>
      <c r="J198">
        <v>306.38094000000001</v>
      </c>
      <c r="K198" t="s">
        <v>1123</v>
      </c>
      <c r="L198" t="s">
        <v>20</v>
      </c>
      <c r="M198" t="s">
        <v>1124</v>
      </c>
    </row>
    <row r="199" spans="1:13" x14ac:dyDescent="0.25">
      <c r="A199">
        <v>1249969</v>
      </c>
      <c r="B199" t="s">
        <v>1125</v>
      </c>
      <c r="C199" t="str">
        <f>"9788376560137"</f>
        <v>9788376560137</v>
      </c>
      <c r="D199" t="str">
        <f>"9788376560144"</f>
        <v>9788376560144</v>
      </c>
      <c r="E199" t="s">
        <v>350</v>
      </c>
      <c r="F199" s="1">
        <v>42143</v>
      </c>
      <c r="G199" t="s">
        <v>1126</v>
      </c>
      <c r="H199" t="s">
        <v>83</v>
      </c>
      <c r="I199" t="s">
        <v>1127</v>
      </c>
      <c r="J199">
        <v>363.7</v>
      </c>
      <c r="K199" t="s">
        <v>1128</v>
      </c>
      <c r="L199" t="s">
        <v>20</v>
      </c>
      <c r="M199" t="s">
        <v>1129</v>
      </c>
    </row>
    <row r="200" spans="1:13" x14ac:dyDescent="0.25">
      <c r="A200">
        <v>1249975</v>
      </c>
      <c r="B200" t="s">
        <v>1130</v>
      </c>
      <c r="C200" t="str">
        <f>"9788376560373"</f>
        <v>9788376560373</v>
      </c>
      <c r="D200" t="str">
        <f>"9788376560380"</f>
        <v>9788376560380</v>
      </c>
      <c r="E200" t="s">
        <v>350</v>
      </c>
      <c r="F200" s="1">
        <v>41505</v>
      </c>
      <c r="G200" t="s">
        <v>1131</v>
      </c>
      <c r="H200" t="s">
        <v>310</v>
      </c>
      <c r="I200" t="s">
        <v>1132</v>
      </c>
      <c r="J200">
        <v>270.10000000000002</v>
      </c>
      <c r="K200" t="s">
        <v>1133</v>
      </c>
      <c r="L200" t="s">
        <v>20</v>
      </c>
      <c r="M200" t="s">
        <v>1134</v>
      </c>
    </row>
    <row r="201" spans="1:13" x14ac:dyDescent="0.25">
      <c r="A201">
        <v>1249976</v>
      </c>
      <c r="B201" t="s">
        <v>1135</v>
      </c>
      <c r="C201" t="str">
        <f>"9788376560281"</f>
        <v>9788376560281</v>
      </c>
      <c r="D201" t="str">
        <f>"9788376560298"</f>
        <v>9788376560298</v>
      </c>
      <c r="E201" t="s">
        <v>350</v>
      </c>
      <c r="F201" s="1">
        <v>41662</v>
      </c>
      <c r="G201" t="s">
        <v>1136</v>
      </c>
      <c r="H201" t="s">
        <v>1137</v>
      </c>
      <c r="I201" t="s">
        <v>1138</v>
      </c>
      <c r="J201">
        <v>947.000902</v>
      </c>
      <c r="K201" t="s">
        <v>1139</v>
      </c>
      <c r="L201" t="s">
        <v>20</v>
      </c>
      <c r="M201" t="s">
        <v>1140</v>
      </c>
    </row>
    <row r="202" spans="1:13" x14ac:dyDescent="0.25">
      <c r="A202">
        <v>1249979</v>
      </c>
      <c r="B202" t="s">
        <v>1141</v>
      </c>
      <c r="C202" t="str">
        <f>"9788376560311"</f>
        <v>9788376560311</v>
      </c>
      <c r="D202" t="str">
        <f>"9788376560328"</f>
        <v>9788376560328</v>
      </c>
      <c r="E202" t="s">
        <v>350</v>
      </c>
      <c r="F202" s="1">
        <v>41848</v>
      </c>
      <c r="G202" t="s">
        <v>1142</v>
      </c>
      <c r="H202" t="s">
        <v>310</v>
      </c>
      <c r="I202" t="s">
        <v>1143</v>
      </c>
      <c r="J202" t="s">
        <v>1144</v>
      </c>
      <c r="K202" t="s">
        <v>1145</v>
      </c>
      <c r="L202" t="s">
        <v>20</v>
      </c>
      <c r="M202" t="s">
        <v>1146</v>
      </c>
    </row>
    <row r="203" spans="1:13" x14ac:dyDescent="0.25">
      <c r="A203">
        <v>1249991</v>
      </c>
      <c r="B203" t="s">
        <v>1147</v>
      </c>
      <c r="C203" t="str">
        <f>"9788376560342"</f>
        <v>9788376560342</v>
      </c>
      <c r="D203" t="str">
        <f>"9788376560359"</f>
        <v>9788376560359</v>
      </c>
      <c r="E203" t="s">
        <v>350</v>
      </c>
      <c r="F203" s="1">
        <v>41696</v>
      </c>
      <c r="G203" t="s">
        <v>1148</v>
      </c>
      <c r="H203" t="s">
        <v>310</v>
      </c>
      <c r="I203" t="s">
        <v>1149</v>
      </c>
      <c r="J203">
        <v>215</v>
      </c>
      <c r="K203" t="s">
        <v>1150</v>
      </c>
      <c r="L203" t="s">
        <v>20</v>
      </c>
      <c r="M203" t="s">
        <v>1151</v>
      </c>
    </row>
    <row r="204" spans="1:13" x14ac:dyDescent="0.25">
      <c r="A204">
        <v>1249993</v>
      </c>
      <c r="B204" t="s">
        <v>1152</v>
      </c>
      <c r="C204" t="str">
        <f>"9788376560434"</f>
        <v>9788376560434</v>
      </c>
      <c r="D204" t="str">
        <f>"9788376560441"</f>
        <v>9788376560441</v>
      </c>
      <c r="E204" t="s">
        <v>350</v>
      </c>
      <c r="F204" s="1">
        <v>41569</v>
      </c>
      <c r="G204" t="s">
        <v>1153</v>
      </c>
      <c r="H204" t="s">
        <v>1154</v>
      </c>
      <c r="I204" t="s">
        <v>1155</v>
      </c>
      <c r="J204">
        <v>362.74</v>
      </c>
      <c r="K204" t="s">
        <v>1156</v>
      </c>
      <c r="L204" t="s">
        <v>20</v>
      </c>
      <c r="M204" t="s">
        <v>1157</v>
      </c>
    </row>
    <row r="205" spans="1:13" x14ac:dyDescent="0.25">
      <c r="A205">
        <v>1317866</v>
      </c>
      <c r="B205" t="s">
        <v>1158</v>
      </c>
      <c r="C205" t="str">
        <f>"9788376560496"</f>
        <v>9788376560496</v>
      </c>
      <c r="D205" t="str">
        <f>"9788376560502"</f>
        <v>9788376560502</v>
      </c>
      <c r="E205" t="s">
        <v>350</v>
      </c>
      <c r="F205" s="1">
        <v>41505</v>
      </c>
      <c r="G205" t="s">
        <v>1159</v>
      </c>
      <c r="H205" t="s">
        <v>1160</v>
      </c>
      <c r="I205" t="s">
        <v>1161</v>
      </c>
      <c r="J205" t="s">
        <v>1162</v>
      </c>
      <c r="K205" t="s">
        <v>1163</v>
      </c>
      <c r="L205" t="s">
        <v>20</v>
      </c>
      <c r="M205" t="s">
        <v>1164</v>
      </c>
    </row>
    <row r="206" spans="1:13" x14ac:dyDescent="0.25">
      <c r="A206">
        <v>1317872</v>
      </c>
      <c r="B206" t="s">
        <v>1165</v>
      </c>
      <c r="C206" t="str">
        <f>"9788376560588"</f>
        <v>9788376560588</v>
      </c>
      <c r="D206" t="str">
        <f>"9788376560595"</f>
        <v>9788376560595</v>
      </c>
      <c r="E206" t="s">
        <v>350</v>
      </c>
      <c r="F206" s="1">
        <v>41670</v>
      </c>
      <c r="G206" t="s">
        <v>1166</v>
      </c>
      <c r="H206" t="s">
        <v>1167</v>
      </c>
      <c r="I206" t="s">
        <v>1168</v>
      </c>
      <c r="J206">
        <v>330.9</v>
      </c>
      <c r="K206" t="s">
        <v>1169</v>
      </c>
      <c r="L206" t="s">
        <v>20</v>
      </c>
      <c r="M206" t="s">
        <v>1170</v>
      </c>
    </row>
    <row r="207" spans="1:13" x14ac:dyDescent="0.25">
      <c r="A207">
        <v>1344875</v>
      </c>
      <c r="B207" t="s">
        <v>1171</v>
      </c>
      <c r="C207" t="str">
        <f>"9783486565331"</f>
        <v>9783486565331</v>
      </c>
      <c r="D207" t="str">
        <f>"9783486707564"</f>
        <v>9783486707564</v>
      </c>
      <c r="E207" t="s">
        <v>350</v>
      </c>
      <c r="F207" s="1">
        <v>37230</v>
      </c>
      <c r="G207" t="s">
        <v>1172</v>
      </c>
      <c r="H207" t="s">
        <v>30</v>
      </c>
      <c r="I207" t="s">
        <v>1173</v>
      </c>
      <c r="J207">
        <v>320.51</v>
      </c>
      <c r="K207" t="s">
        <v>1174</v>
      </c>
      <c r="L207" t="s">
        <v>291</v>
      </c>
      <c r="M207" t="s">
        <v>1175</v>
      </c>
    </row>
    <row r="208" spans="1:13" x14ac:dyDescent="0.25">
      <c r="A208">
        <v>1344891</v>
      </c>
      <c r="B208" t="s">
        <v>1176</v>
      </c>
      <c r="C208" t="str">
        <f>"9788376560250"</f>
        <v>9788376560250</v>
      </c>
      <c r="D208" t="str">
        <f>"9788376560267"</f>
        <v>9788376560267</v>
      </c>
      <c r="E208" t="s">
        <v>350</v>
      </c>
      <c r="F208" s="1">
        <v>41626</v>
      </c>
      <c r="G208" t="s">
        <v>1177</v>
      </c>
      <c r="H208" t="s">
        <v>1178</v>
      </c>
      <c r="I208" t="s">
        <v>1179</v>
      </c>
      <c r="J208">
        <v>515</v>
      </c>
      <c r="K208" t="s">
        <v>1180</v>
      </c>
      <c r="L208" t="s">
        <v>20</v>
      </c>
      <c r="M208" t="s">
        <v>1181</v>
      </c>
    </row>
    <row r="209" spans="1:13" x14ac:dyDescent="0.25">
      <c r="A209">
        <v>1344896</v>
      </c>
      <c r="B209" t="s">
        <v>1182</v>
      </c>
      <c r="C209" t="str">
        <f>"9783486578461"</f>
        <v>9783486578461</v>
      </c>
      <c r="D209" t="str">
        <f>"9783486707663"</f>
        <v>9783486707663</v>
      </c>
      <c r="E209" t="s">
        <v>350</v>
      </c>
      <c r="F209" s="1">
        <v>38665</v>
      </c>
      <c r="G209" t="s">
        <v>1183</v>
      </c>
      <c r="H209" t="s">
        <v>1184</v>
      </c>
      <c r="I209" t="s">
        <v>1185</v>
      </c>
      <c r="J209">
        <v>72</v>
      </c>
      <c r="K209" t="s">
        <v>1186</v>
      </c>
      <c r="L209" t="s">
        <v>291</v>
      </c>
      <c r="M209" t="s">
        <v>1187</v>
      </c>
    </row>
    <row r="210" spans="1:13" x14ac:dyDescent="0.25">
      <c r="A210">
        <v>1345171</v>
      </c>
      <c r="B210" t="s">
        <v>1188</v>
      </c>
      <c r="C210" t="str">
        <f>"9783486597042"</f>
        <v>9783486597042</v>
      </c>
      <c r="D210" t="str">
        <f>"9783486719383"</f>
        <v>9783486719383</v>
      </c>
      <c r="E210" t="s">
        <v>350</v>
      </c>
      <c r="F210" s="1">
        <v>40625</v>
      </c>
      <c r="G210" t="s">
        <v>1189</v>
      </c>
      <c r="H210" t="s">
        <v>139</v>
      </c>
      <c r="I210" t="s">
        <v>1190</v>
      </c>
      <c r="J210">
        <v>944.06092000000001</v>
      </c>
      <c r="K210" t="s">
        <v>1191</v>
      </c>
      <c r="L210" t="s">
        <v>291</v>
      </c>
      <c r="M210" t="s">
        <v>1192</v>
      </c>
    </row>
    <row r="211" spans="1:13" x14ac:dyDescent="0.25">
      <c r="A211">
        <v>1347153</v>
      </c>
      <c r="B211" t="s">
        <v>1193</v>
      </c>
      <c r="C211" t="str">
        <f>"9783486597714"</f>
        <v>9783486597714</v>
      </c>
      <c r="D211" t="str">
        <f>"9783486719390"</f>
        <v>9783486719390</v>
      </c>
      <c r="E211" t="s">
        <v>350</v>
      </c>
      <c r="F211" s="1">
        <v>40751</v>
      </c>
      <c r="G211" t="s">
        <v>1194</v>
      </c>
      <c r="H211" t="s">
        <v>662</v>
      </c>
      <c r="I211" t="s">
        <v>1195</v>
      </c>
      <c r="J211">
        <v>944.03309200000001</v>
      </c>
      <c r="K211" t="s">
        <v>1196</v>
      </c>
      <c r="L211" t="s">
        <v>291</v>
      </c>
      <c r="M211" t="s">
        <v>1197</v>
      </c>
    </row>
    <row r="212" spans="1:13" x14ac:dyDescent="0.25">
      <c r="A212">
        <v>1347205</v>
      </c>
      <c r="B212" t="s">
        <v>1198</v>
      </c>
      <c r="C212" t="str">
        <f>"9783486706710"</f>
        <v>9783486706710</v>
      </c>
      <c r="D212" t="str">
        <f>"9783486715194"</f>
        <v>9783486715194</v>
      </c>
      <c r="E212" t="s">
        <v>350</v>
      </c>
      <c r="F212" s="1">
        <v>40961</v>
      </c>
      <c r="G212" t="s">
        <v>1199</v>
      </c>
      <c r="H212" t="s">
        <v>139</v>
      </c>
      <c r="I212" t="s">
        <v>1200</v>
      </c>
      <c r="J212">
        <v>938.29103399999997</v>
      </c>
      <c r="K212" t="s">
        <v>1201</v>
      </c>
      <c r="L212" t="s">
        <v>291</v>
      </c>
      <c r="M212" t="s">
        <v>1202</v>
      </c>
    </row>
    <row r="213" spans="1:13" x14ac:dyDescent="0.25">
      <c r="A213">
        <v>1377062</v>
      </c>
      <c r="B213" t="s">
        <v>1203</v>
      </c>
      <c r="C213" t="str">
        <f>"9783110339765"</f>
        <v>9783110339765</v>
      </c>
      <c r="D213" t="str">
        <f>"9783110339789"</f>
        <v>9783110339789</v>
      </c>
      <c r="E213" t="s">
        <v>350</v>
      </c>
      <c r="F213" s="1">
        <v>41988</v>
      </c>
      <c r="G213" t="s">
        <v>1204</v>
      </c>
      <c r="H213" t="s">
        <v>512</v>
      </c>
      <c r="I213" t="s">
        <v>1205</v>
      </c>
      <c r="J213">
        <v>335</v>
      </c>
      <c r="K213" t="s">
        <v>1206</v>
      </c>
      <c r="L213" t="s">
        <v>291</v>
      </c>
      <c r="M213" t="s">
        <v>1207</v>
      </c>
    </row>
    <row r="214" spans="1:13" x14ac:dyDescent="0.25">
      <c r="A214">
        <v>1377095</v>
      </c>
      <c r="B214" t="s">
        <v>1208</v>
      </c>
      <c r="C214" t="str">
        <f>"9783110330847"</f>
        <v>9783110330847</v>
      </c>
      <c r="D214" t="str">
        <f>"9783110330953"</f>
        <v>9783110330953</v>
      </c>
      <c r="E214" t="s">
        <v>270</v>
      </c>
      <c r="F214" s="1">
        <v>41870</v>
      </c>
      <c r="G214" t="s">
        <v>1209</v>
      </c>
      <c r="H214" t="s">
        <v>1210</v>
      </c>
      <c r="I214" t="s">
        <v>1211</v>
      </c>
      <c r="J214">
        <v>909.09</v>
      </c>
      <c r="K214" t="s">
        <v>1212</v>
      </c>
      <c r="L214" t="s">
        <v>1213</v>
      </c>
      <c r="M214" t="s">
        <v>1214</v>
      </c>
    </row>
    <row r="215" spans="1:13" x14ac:dyDescent="0.25">
      <c r="A215">
        <v>1377117</v>
      </c>
      <c r="B215" t="s">
        <v>1215</v>
      </c>
      <c r="C215" t="str">
        <f>"9783110300987"</f>
        <v>9783110300987</v>
      </c>
      <c r="D215" t="str">
        <f>"9783110301342"</f>
        <v>9783110301342</v>
      </c>
      <c r="E215" t="s">
        <v>270</v>
      </c>
      <c r="F215" s="1">
        <v>41620</v>
      </c>
      <c r="G215" t="s">
        <v>1216</v>
      </c>
      <c r="H215" t="s">
        <v>120</v>
      </c>
      <c r="I215" t="s">
        <v>1217</v>
      </c>
      <c r="J215" t="s">
        <v>1218</v>
      </c>
      <c r="K215" t="s">
        <v>1219</v>
      </c>
      <c r="L215" t="s">
        <v>291</v>
      </c>
      <c r="M215" t="s">
        <v>1220</v>
      </c>
    </row>
    <row r="216" spans="1:13" x14ac:dyDescent="0.25">
      <c r="A216">
        <v>1377136</v>
      </c>
      <c r="B216" t="s">
        <v>1221</v>
      </c>
      <c r="C216" t="str">
        <f>"9783110337457"</f>
        <v>9783110337457</v>
      </c>
      <c r="D216" t="str">
        <f>"9783110337594"</f>
        <v>9783110337594</v>
      </c>
      <c r="E216" t="s">
        <v>270</v>
      </c>
      <c r="F216" s="1">
        <v>41960</v>
      </c>
      <c r="G216" t="s">
        <v>1222</v>
      </c>
      <c r="H216" t="s">
        <v>1223</v>
      </c>
      <c r="I216" t="s">
        <v>1224</v>
      </c>
      <c r="J216">
        <v>937</v>
      </c>
      <c r="K216" t="s">
        <v>1225</v>
      </c>
      <c r="L216" t="s">
        <v>291</v>
      </c>
      <c r="M216" t="s">
        <v>1226</v>
      </c>
    </row>
    <row r="217" spans="1:13" x14ac:dyDescent="0.25">
      <c r="A217">
        <v>1394738</v>
      </c>
      <c r="B217" t="s">
        <v>1227</v>
      </c>
      <c r="C217" t="str">
        <f>"9783486761368"</f>
        <v>9783486761368</v>
      </c>
      <c r="D217" t="str">
        <f>"9783486858662"</f>
        <v>9783486858662</v>
      </c>
      <c r="E217" t="s">
        <v>350</v>
      </c>
      <c r="F217" s="1">
        <v>41960</v>
      </c>
      <c r="G217" t="s">
        <v>1228</v>
      </c>
      <c r="H217" t="s">
        <v>1229</v>
      </c>
      <c r="I217" t="s">
        <v>1230</v>
      </c>
      <c r="J217">
        <v>907.07849999999996</v>
      </c>
      <c r="K217" t="s">
        <v>1231</v>
      </c>
      <c r="L217" t="s">
        <v>291</v>
      </c>
      <c r="M217" t="s">
        <v>1232</v>
      </c>
    </row>
    <row r="218" spans="1:13" x14ac:dyDescent="0.25">
      <c r="A218">
        <v>1394781</v>
      </c>
      <c r="B218" t="s">
        <v>1233</v>
      </c>
      <c r="C218" t="str">
        <f>"9783486765380"</f>
        <v>9783486765380</v>
      </c>
      <c r="D218" t="str">
        <f>"9783486858846"</f>
        <v>9783486858846</v>
      </c>
      <c r="E218" t="s">
        <v>350</v>
      </c>
      <c r="F218" s="1">
        <v>41897</v>
      </c>
      <c r="G218" t="s">
        <v>1234</v>
      </c>
      <c r="H218" t="s">
        <v>139</v>
      </c>
      <c r="I218" t="s">
        <v>1235</v>
      </c>
      <c r="J218">
        <v>943.08600000000001</v>
      </c>
      <c r="K218" t="s">
        <v>1236</v>
      </c>
      <c r="L218" t="s">
        <v>291</v>
      </c>
      <c r="M218" t="s">
        <v>1237</v>
      </c>
    </row>
    <row r="219" spans="1:13" x14ac:dyDescent="0.25">
      <c r="A219">
        <v>1394810</v>
      </c>
      <c r="B219" t="s">
        <v>1238</v>
      </c>
      <c r="C219" t="str">
        <f>"9783486717150"</f>
        <v>9783486717150</v>
      </c>
      <c r="D219" t="str">
        <f>"9783486755732"</f>
        <v>9783486755732</v>
      </c>
      <c r="E219" t="s">
        <v>350</v>
      </c>
      <c r="F219" s="1">
        <v>41533</v>
      </c>
      <c r="G219" t="s">
        <v>1239</v>
      </c>
      <c r="H219" t="s">
        <v>1240</v>
      </c>
      <c r="I219" t="s">
        <v>1241</v>
      </c>
      <c r="J219">
        <v>25.068999999999999</v>
      </c>
      <c r="K219" t="s">
        <v>1242</v>
      </c>
      <c r="L219" t="s">
        <v>291</v>
      </c>
      <c r="M219" t="s">
        <v>1243</v>
      </c>
    </row>
    <row r="220" spans="1:13" x14ac:dyDescent="0.25">
      <c r="A220">
        <v>1433395</v>
      </c>
      <c r="B220" t="s">
        <v>1244</v>
      </c>
      <c r="C220" t="str">
        <f>"9783486585858"</f>
        <v>9783486585858</v>
      </c>
      <c r="D220" t="str">
        <f>"9783486989274"</f>
        <v>9783486989274</v>
      </c>
      <c r="E220" t="s">
        <v>350</v>
      </c>
      <c r="F220" s="1">
        <v>39524</v>
      </c>
      <c r="G220" t="s">
        <v>1245</v>
      </c>
      <c r="H220" t="s">
        <v>83</v>
      </c>
      <c r="I220" t="s">
        <v>1246</v>
      </c>
      <c r="J220">
        <v>363.70094</v>
      </c>
      <c r="K220" t="s">
        <v>1247</v>
      </c>
      <c r="L220" t="s">
        <v>291</v>
      </c>
      <c r="M220" t="s">
        <v>1248</v>
      </c>
    </row>
    <row r="221" spans="1:13" x14ac:dyDescent="0.25">
      <c r="A221">
        <v>1433428</v>
      </c>
      <c r="B221" t="s">
        <v>1249</v>
      </c>
      <c r="C221" t="str">
        <f>"9788376560731"</f>
        <v>9788376560731</v>
      </c>
      <c r="D221" t="str">
        <f>"9788376560748"</f>
        <v>9788376560748</v>
      </c>
      <c r="E221" t="s">
        <v>350</v>
      </c>
      <c r="F221" s="1">
        <v>41610</v>
      </c>
      <c r="G221" t="s">
        <v>1250</v>
      </c>
      <c r="H221" t="s">
        <v>1251</v>
      </c>
      <c r="I221" t="s">
        <v>1252</v>
      </c>
      <c r="J221">
        <v>306.44</v>
      </c>
      <c r="K221" t="s">
        <v>1253</v>
      </c>
      <c r="L221" t="s">
        <v>20</v>
      </c>
      <c r="M221" t="s">
        <v>1254</v>
      </c>
    </row>
    <row r="222" spans="1:13" x14ac:dyDescent="0.25">
      <c r="A222">
        <v>1433435</v>
      </c>
      <c r="B222" t="s">
        <v>1255</v>
      </c>
      <c r="C222" t="str">
        <f>"9783486591408"</f>
        <v>9783486591408</v>
      </c>
      <c r="D222" t="str">
        <f>"9783486989298"</f>
        <v>9783486989298</v>
      </c>
      <c r="E222" t="s">
        <v>350</v>
      </c>
      <c r="F222" s="1">
        <v>40093</v>
      </c>
      <c r="G222" t="s">
        <v>1256</v>
      </c>
      <c r="H222" t="s">
        <v>64</v>
      </c>
      <c r="I222" t="s">
        <v>1257</v>
      </c>
      <c r="J222">
        <v>302.23094300000002</v>
      </c>
      <c r="K222" t="s">
        <v>1258</v>
      </c>
      <c r="L222" t="s">
        <v>291</v>
      </c>
      <c r="M222" t="s">
        <v>1259</v>
      </c>
    </row>
    <row r="223" spans="1:13" x14ac:dyDescent="0.25">
      <c r="A223">
        <v>1433436</v>
      </c>
      <c r="B223" t="s">
        <v>1260</v>
      </c>
      <c r="C223" t="str">
        <f>"9783486591446"</f>
        <v>9783486591446</v>
      </c>
      <c r="D223" t="str">
        <f>"9783486989281"</f>
        <v>9783486989281</v>
      </c>
      <c r="E223" t="s">
        <v>350</v>
      </c>
      <c r="F223" s="1">
        <v>40093</v>
      </c>
      <c r="G223" t="s">
        <v>1261</v>
      </c>
      <c r="H223" t="s">
        <v>64</v>
      </c>
      <c r="I223" t="s">
        <v>1262</v>
      </c>
      <c r="J223">
        <v>305.80090000000001</v>
      </c>
      <c r="K223" t="s">
        <v>1263</v>
      </c>
      <c r="L223" t="s">
        <v>291</v>
      </c>
      <c r="M223" t="s">
        <v>1264</v>
      </c>
    </row>
    <row r="224" spans="1:13" x14ac:dyDescent="0.25">
      <c r="A224">
        <v>1480531</v>
      </c>
      <c r="B224" t="s">
        <v>1265</v>
      </c>
      <c r="C224" t="str">
        <f>"9788376560199"</f>
        <v>9788376560199</v>
      </c>
      <c r="D224" t="str">
        <f>"9788376560205"</f>
        <v>9788376560205</v>
      </c>
      <c r="E224" t="s">
        <v>350</v>
      </c>
      <c r="F224" s="1">
        <v>42527</v>
      </c>
      <c r="G224" t="s">
        <v>1266</v>
      </c>
      <c r="H224" t="s">
        <v>70</v>
      </c>
      <c r="I224" t="s">
        <v>1267</v>
      </c>
      <c r="J224">
        <v>841.3</v>
      </c>
      <c r="K224" t="s">
        <v>1268</v>
      </c>
      <c r="L224" t="s">
        <v>20</v>
      </c>
      <c r="M224" t="s">
        <v>1269</v>
      </c>
    </row>
    <row r="225" spans="1:13" x14ac:dyDescent="0.25">
      <c r="A225">
        <v>1524370</v>
      </c>
      <c r="B225" t="s">
        <v>1270</v>
      </c>
      <c r="C225" t="str">
        <f>"9783110345483"</f>
        <v>9783110345483</v>
      </c>
      <c r="D225" t="str">
        <f>"9783110347302"</f>
        <v>9783110347302</v>
      </c>
      <c r="E225" t="s">
        <v>270</v>
      </c>
      <c r="F225" s="1">
        <v>41925</v>
      </c>
      <c r="G225" t="s">
        <v>1271</v>
      </c>
      <c r="H225" t="s">
        <v>139</v>
      </c>
      <c r="I225" t="s">
        <v>1272</v>
      </c>
      <c r="J225">
        <v>949.5</v>
      </c>
      <c r="K225" t="s">
        <v>1273</v>
      </c>
      <c r="L225" t="s">
        <v>291</v>
      </c>
      <c r="M225" t="s">
        <v>1274</v>
      </c>
    </row>
    <row r="226" spans="1:13" x14ac:dyDescent="0.25">
      <c r="A226">
        <v>1524372</v>
      </c>
      <c r="B226" t="s">
        <v>1275</v>
      </c>
      <c r="C226" t="str">
        <f>"9783486585087"</f>
        <v>9783486585087</v>
      </c>
      <c r="D226" t="str">
        <f>"9783486989267"</f>
        <v>9783486989267</v>
      </c>
      <c r="E226" t="s">
        <v>350</v>
      </c>
      <c r="F226" s="1">
        <v>39391</v>
      </c>
      <c r="G226" t="s">
        <v>1276</v>
      </c>
      <c r="H226" t="s">
        <v>41</v>
      </c>
      <c r="I226" t="s">
        <v>1277</v>
      </c>
      <c r="J226">
        <v>337.44</v>
      </c>
      <c r="K226" t="s">
        <v>1278</v>
      </c>
      <c r="L226" t="s">
        <v>1279</v>
      </c>
      <c r="M226" t="s">
        <v>1280</v>
      </c>
    </row>
    <row r="227" spans="1:13" x14ac:dyDescent="0.25">
      <c r="A227">
        <v>1524378</v>
      </c>
      <c r="B227" t="s">
        <v>1281</v>
      </c>
      <c r="C227" t="str">
        <f>"9788376560700"</f>
        <v>9788376560700</v>
      </c>
      <c r="D227" t="str">
        <f>"9788376560717"</f>
        <v>9788376560717</v>
      </c>
      <c r="E227" t="s">
        <v>350</v>
      </c>
      <c r="F227" s="1">
        <v>41878</v>
      </c>
      <c r="G227" t="s">
        <v>1282</v>
      </c>
      <c r="H227" t="s">
        <v>1283</v>
      </c>
      <c r="I227" t="s">
        <v>1284</v>
      </c>
      <c r="J227">
        <v>635.65719999999999</v>
      </c>
      <c r="K227" t="s">
        <v>1285</v>
      </c>
      <c r="L227" t="s">
        <v>20</v>
      </c>
      <c r="M227" t="s">
        <v>1286</v>
      </c>
    </row>
    <row r="228" spans="1:13" x14ac:dyDescent="0.25">
      <c r="A228">
        <v>1524415</v>
      </c>
      <c r="B228" t="s">
        <v>1287</v>
      </c>
      <c r="C228" t="str">
        <f>"9788376560670"</f>
        <v>9788376560670</v>
      </c>
      <c r="D228" t="str">
        <f>"9783110368123"</f>
        <v>9783110368123</v>
      </c>
      <c r="E228" t="s">
        <v>350</v>
      </c>
      <c r="F228" s="1">
        <v>41844</v>
      </c>
      <c r="G228" t="s">
        <v>1288</v>
      </c>
      <c r="H228" t="s">
        <v>70</v>
      </c>
      <c r="I228" t="s">
        <v>1289</v>
      </c>
      <c r="J228">
        <v>823.91200000000003</v>
      </c>
      <c r="K228" t="s">
        <v>1290</v>
      </c>
      <c r="L228" t="s">
        <v>20</v>
      </c>
      <c r="M228" t="s">
        <v>1291</v>
      </c>
    </row>
    <row r="229" spans="1:13" x14ac:dyDescent="0.25">
      <c r="A229">
        <v>1563454</v>
      </c>
      <c r="B229" t="s">
        <v>1292</v>
      </c>
      <c r="C229" t="str">
        <f>"9788376560229"</f>
        <v>9788376560229</v>
      </c>
      <c r="D229" t="str">
        <f>"9788376560236"</f>
        <v>9788376560236</v>
      </c>
      <c r="E229" t="s">
        <v>350</v>
      </c>
      <c r="F229" s="1">
        <v>41610</v>
      </c>
      <c r="G229" t="s">
        <v>1293</v>
      </c>
      <c r="H229" t="s">
        <v>817</v>
      </c>
      <c r="I229" t="s">
        <v>1294</v>
      </c>
      <c r="J229">
        <v>610.90219999999999</v>
      </c>
      <c r="K229" t="s">
        <v>1295</v>
      </c>
      <c r="L229" t="s">
        <v>20</v>
      </c>
      <c r="M229" t="s">
        <v>1296</v>
      </c>
    </row>
    <row r="230" spans="1:13" x14ac:dyDescent="0.25">
      <c r="A230">
        <v>1575463</v>
      </c>
      <c r="B230" t="s">
        <v>1297</v>
      </c>
      <c r="C230" t="str">
        <f>"9788376560649"</f>
        <v>9788376560649</v>
      </c>
      <c r="D230" t="str">
        <f>"9783110368147"</f>
        <v>9783110368147</v>
      </c>
      <c r="E230" t="s">
        <v>350</v>
      </c>
      <c r="F230" s="1">
        <v>41814</v>
      </c>
      <c r="G230" t="s">
        <v>1298</v>
      </c>
      <c r="H230" t="s">
        <v>139</v>
      </c>
      <c r="I230" t="s">
        <v>1299</v>
      </c>
      <c r="J230">
        <v>947.04700000000003</v>
      </c>
      <c r="K230" t="s">
        <v>1300</v>
      </c>
      <c r="L230" t="s">
        <v>20</v>
      </c>
      <c r="M230" t="s">
        <v>1301</v>
      </c>
    </row>
    <row r="231" spans="1:13" x14ac:dyDescent="0.25">
      <c r="A231">
        <v>1586238</v>
      </c>
      <c r="B231" t="s">
        <v>1302</v>
      </c>
      <c r="C231" t="str">
        <f>"9783110350524"</f>
        <v>9783110350524</v>
      </c>
      <c r="D231" t="str">
        <f>"9783110350548"</f>
        <v>9783110350548</v>
      </c>
      <c r="E231" t="s">
        <v>270</v>
      </c>
      <c r="F231" s="1">
        <v>41627</v>
      </c>
      <c r="G231" t="s">
        <v>1303</v>
      </c>
      <c r="H231" t="s">
        <v>239</v>
      </c>
      <c r="I231" t="s">
        <v>1304</v>
      </c>
      <c r="J231">
        <v>342.4</v>
      </c>
      <c r="K231" t="s">
        <v>1305</v>
      </c>
      <c r="L231" t="s">
        <v>291</v>
      </c>
      <c r="M231" t="s">
        <v>1306</v>
      </c>
    </row>
    <row r="232" spans="1:13" x14ac:dyDescent="0.25">
      <c r="A232">
        <v>1597580</v>
      </c>
      <c r="B232" t="s">
        <v>1307</v>
      </c>
      <c r="C232" t="str">
        <f>"9783110354645"</f>
        <v>9783110354645</v>
      </c>
      <c r="D232" t="str">
        <f>"9783110354782"</f>
        <v>9783110354782</v>
      </c>
      <c r="E232" t="s">
        <v>270</v>
      </c>
      <c r="F232" s="1">
        <v>41687</v>
      </c>
      <c r="G232" t="s">
        <v>1308</v>
      </c>
      <c r="H232" t="s">
        <v>1309</v>
      </c>
      <c r="I232" t="s">
        <v>1310</v>
      </c>
      <c r="J232" t="s">
        <v>1311</v>
      </c>
      <c r="K232" t="s">
        <v>1312</v>
      </c>
      <c r="L232" t="s">
        <v>20</v>
      </c>
      <c r="M232" t="s">
        <v>1313</v>
      </c>
    </row>
    <row r="233" spans="1:13" x14ac:dyDescent="0.25">
      <c r="A233">
        <v>1609411</v>
      </c>
      <c r="B233" t="s">
        <v>1314</v>
      </c>
      <c r="C233" t="str">
        <f>"9788376560908"</f>
        <v>9788376560908</v>
      </c>
      <c r="D233" t="str">
        <f>"9788376560915"</f>
        <v>9788376560915</v>
      </c>
      <c r="E233" t="s">
        <v>350</v>
      </c>
      <c r="F233" s="1">
        <v>41673</v>
      </c>
      <c r="G233" t="s">
        <v>1315</v>
      </c>
      <c r="H233" t="s">
        <v>851</v>
      </c>
      <c r="I233" t="s">
        <v>1316</v>
      </c>
      <c r="J233">
        <v>410</v>
      </c>
      <c r="K233" t="s">
        <v>1317</v>
      </c>
      <c r="L233" t="s">
        <v>20</v>
      </c>
      <c r="M233" t="s">
        <v>1318</v>
      </c>
    </row>
    <row r="234" spans="1:13" x14ac:dyDescent="0.25">
      <c r="A234">
        <v>1609443</v>
      </c>
      <c r="B234" t="s">
        <v>1319</v>
      </c>
      <c r="C234" t="str">
        <f>"9788376560755"</f>
        <v>9788376560755</v>
      </c>
      <c r="D234" t="str">
        <f>"9788376560762"</f>
        <v>9788376560762</v>
      </c>
      <c r="E234" t="s">
        <v>350</v>
      </c>
      <c r="F234" s="1">
        <v>41673</v>
      </c>
      <c r="G234" t="s">
        <v>1315</v>
      </c>
      <c r="H234" t="s">
        <v>851</v>
      </c>
      <c r="I234" t="s">
        <v>1320</v>
      </c>
      <c r="J234">
        <v>410</v>
      </c>
      <c r="K234" t="s">
        <v>1321</v>
      </c>
      <c r="L234" t="s">
        <v>20</v>
      </c>
      <c r="M234" t="s">
        <v>1322</v>
      </c>
    </row>
    <row r="235" spans="1:13" x14ac:dyDescent="0.25">
      <c r="A235">
        <v>1609457</v>
      </c>
      <c r="B235" t="s">
        <v>1323</v>
      </c>
      <c r="C235" t="str">
        <f>"9788376560878"</f>
        <v>9788376560878</v>
      </c>
      <c r="D235" t="str">
        <f>"9788376560885"</f>
        <v>9788376560885</v>
      </c>
      <c r="E235" t="s">
        <v>350</v>
      </c>
      <c r="F235" s="1">
        <v>41673</v>
      </c>
      <c r="G235" t="s">
        <v>1315</v>
      </c>
      <c r="H235" t="s">
        <v>851</v>
      </c>
      <c r="I235" t="s">
        <v>1324</v>
      </c>
      <c r="J235">
        <v>410</v>
      </c>
      <c r="K235" t="s">
        <v>1321</v>
      </c>
      <c r="L235" t="s">
        <v>20</v>
      </c>
      <c r="M235" t="s">
        <v>1325</v>
      </c>
    </row>
    <row r="236" spans="1:13" x14ac:dyDescent="0.25">
      <c r="A236">
        <v>1634353</v>
      </c>
      <c r="B236" t="s">
        <v>1326</v>
      </c>
      <c r="C236" t="str">
        <f>"9788376560816"</f>
        <v>9788376560816</v>
      </c>
      <c r="D236" t="str">
        <f>"9788376560823"</f>
        <v>9788376560823</v>
      </c>
      <c r="E236" t="s">
        <v>350</v>
      </c>
      <c r="F236" s="1">
        <v>41698</v>
      </c>
      <c r="G236" t="s">
        <v>1327</v>
      </c>
      <c r="H236" t="s">
        <v>1328</v>
      </c>
      <c r="I236" t="s">
        <v>1329</v>
      </c>
      <c r="J236">
        <v>629.10928374000002</v>
      </c>
      <c r="K236" t="s">
        <v>1330</v>
      </c>
      <c r="L236" t="s">
        <v>20</v>
      </c>
      <c r="M236" t="s">
        <v>1331</v>
      </c>
    </row>
    <row r="237" spans="1:13" x14ac:dyDescent="0.25">
      <c r="A237">
        <v>1642656</v>
      </c>
      <c r="B237" t="s">
        <v>1332</v>
      </c>
      <c r="C237" t="str">
        <f>"9783486705041"</f>
        <v>9783486705041</v>
      </c>
      <c r="D237" t="str">
        <f>"9783110345476"</f>
        <v>9783110345476</v>
      </c>
      <c r="E237" t="s">
        <v>350</v>
      </c>
      <c r="F237" s="1">
        <v>42076</v>
      </c>
      <c r="G237" t="s">
        <v>1333</v>
      </c>
      <c r="H237" t="s">
        <v>1229</v>
      </c>
      <c r="I237" t="s">
        <v>1334</v>
      </c>
      <c r="J237">
        <v>900</v>
      </c>
      <c r="K237" t="s">
        <v>1335</v>
      </c>
      <c r="L237" t="s">
        <v>291</v>
      </c>
      <c r="M237" t="s">
        <v>1336</v>
      </c>
    </row>
    <row r="238" spans="1:13" x14ac:dyDescent="0.25">
      <c r="A238">
        <v>1642701</v>
      </c>
      <c r="B238" t="s">
        <v>1337</v>
      </c>
      <c r="C238" t="str">
        <f>"9783486778441"</f>
        <v>9783486778441</v>
      </c>
      <c r="D238" t="str">
        <f>"9783486859089"</f>
        <v>9783486859089</v>
      </c>
      <c r="E238" t="s">
        <v>350</v>
      </c>
      <c r="F238" s="1">
        <v>41988</v>
      </c>
      <c r="G238" t="s">
        <v>1338</v>
      </c>
      <c r="H238" t="s">
        <v>1339</v>
      </c>
      <c r="I238" t="s">
        <v>1340</v>
      </c>
      <c r="J238">
        <v>611.01800000000003</v>
      </c>
      <c r="K238" t="s">
        <v>1341</v>
      </c>
      <c r="L238" t="s">
        <v>291</v>
      </c>
      <c r="M238" t="s">
        <v>1342</v>
      </c>
    </row>
    <row r="239" spans="1:13" x14ac:dyDescent="0.25">
      <c r="A239">
        <v>1642715</v>
      </c>
      <c r="B239" t="s">
        <v>1343</v>
      </c>
      <c r="C239" t="str">
        <f>"9783486781397"</f>
        <v>9783486781397</v>
      </c>
      <c r="D239" t="str">
        <f>"9783110345438"</f>
        <v>9783110345438</v>
      </c>
      <c r="E239" t="s">
        <v>350</v>
      </c>
      <c r="F239" s="1">
        <v>41960</v>
      </c>
      <c r="G239" t="s">
        <v>1344</v>
      </c>
      <c r="H239" t="s">
        <v>30</v>
      </c>
      <c r="I239" t="s">
        <v>1345</v>
      </c>
      <c r="J239">
        <v>327.12</v>
      </c>
      <c r="K239" t="s">
        <v>1346</v>
      </c>
      <c r="L239" t="s">
        <v>291</v>
      </c>
      <c r="M239" t="s">
        <v>1347</v>
      </c>
    </row>
    <row r="240" spans="1:13" x14ac:dyDescent="0.25">
      <c r="A240">
        <v>1642718</v>
      </c>
      <c r="B240" t="s">
        <v>1348</v>
      </c>
      <c r="C240" t="str">
        <f>"9783110353617"</f>
        <v>9783110353617</v>
      </c>
      <c r="D240" t="str">
        <f>"9783110353716"</f>
        <v>9783110353716</v>
      </c>
      <c r="E240" t="s">
        <v>350</v>
      </c>
      <c r="F240" s="1">
        <v>41870</v>
      </c>
      <c r="G240" t="s">
        <v>1349</v>
      </c>
      <c r="H240" t="s">
        <v>246</v>
      </c>
      <c r="I240" t="s">
        <v>1350</v>
      </c>
      <c r="J240">
        <v>792.08900000000006</v>
      </c>
      <c r="K240" t="s">
        <v>1351</v>
      </c>
      <c r="L240" t="s">
        <v>291</v>
      </c>
      <c r="M240" t="s">
        <v>1352</v>
      </c>
    </row>
    <row r="241" spans="1:13" x14ac:dyDescent="0.25">
      <c r="A241">
        <v>1642761</v>
      </c>
      <c r="B241" t="s">
        <v>1353</v>
      </c>
      <c r="C241" t="str">
        <f>"9783038216469"</f>
        <v>9783038216469</v>
      </c>
      <c r="D241" t="str">
        <f>"9783038216506"</f>
        <v>9783038216506</v>
      </c>
      <c r="E241" t="s">
        <v>350</v>
      </c>
      <c r="F241" s="1">
        <v>41969</v>
      </c>
      <c r="G241" t="s">
        <v>1354</v>
      </c>
      <c r="H241" t="s">
        <v>806</v>
      </c>
      <c r="I241" t="s">
        <v>1355</v>
      </c>
      <c r="J241">
        <v>720</v>
      </c>
      <c r="K241" t="s">
        <v>1356</v>
      </c>
      <c r="L241" t="s">
        <v>20</v>
      </c>
      <c r="M241" t="s">
        <v>1357</v>
      </c>
    </row>
    <row r="242" spans="1:13" x14ac:dyDescent="0.25">
      <c r="A242">
        <v>1642781</v>
      </c>
      <c r="B242" t="s">
        <v>1358</v>
      </c>
      <c r="C242" t="str">
        <f>"9783110347074"</f>
        <v>9783110347074</v>
      </c>
      <c r="D242" t="str">
        <f>"9783110348750"</f>
        <v>9783110348750</v>
      </c>
      <c r="E242" t="s">
        <v>350</v>
      </c>
      <c r="F242" s="1">
        <v>41939</v>
      </c>
      <c r="G242" t="s">
        <v>1359</v>
      </c>
      <c r="H242" t="s">
        <v>169</v>
      </c>
      <c r="I242" t="s">
        <v>1360</v>
      </c>
      <c r="J242">
        <v>338.27282000000002</v>
      </c>
      <c r="K242" t="s">
        <v>1361</v>
      </c>
      <c r="L242" t="s">
        <v>291</v>
      </c>
      <c r="M242" t="s">
        <v>1362</v>
      </c>
    </row>
    <row r="243" spans="1:13" x14ac:dyDescent="0.25">
      <c r="A243">
        <v>1652352</v>
      </c>
      <c r="B243" t="s">
        <v>1363</v>
      </c>
      <c r="C243" t="str">
        <f>"9783110367652"</f>
        <v>9783110367652</v>
      </c>
      <c r="D243" t="str">
        <f>"9783110367669"</f>
        <v>9783110367669</v>
      </c>
      <c r="E243" t="s">
        <v>350</v>
      </c>
      <c r="F243" s="1">
        <v>41793</v>
      </c>
      <c r="G243" t="s">
        <v>1364</v>
      </c>
      <c r="H243" t="s">
        <v>712</v>
      </c>
      <c r="I243" t="s">
        <v>1365</v>
      </c>
      <c r="J243">
        <v>6</v>
      </c>
      <c r="K243" t="s">
        <v>1366</v>
      </c>
      <c r="L243" t="s">
        <v>20</v>
      </c>
      <c r="M243" t="s">
        <v>1367</v>
      </c>
    </row>
    <row r="244" spans="1:13" x14ac:dyDescent="0.25">
      <c r="A244">
        <v>1652397</v>
      </c>
      <c r="B244" t="s">
        <v>1368</v>
      </c>
      <c r="C244" t="str">
        <f>"9783110362114"</f>
        <v>9783110362114</v>
      </c>
      <c r="D244" t="str">
        <f>"9783110278149"</f>
        <v>9783110278149</v>
      </c>
      <c r="E244" t="s">
        <v>350</v>
      </c>
      <c r="F244" s="1">
        <v>41939</v>
      </c>
      <c r="G244" t="s">
        <v>1369</v>
      </c>
      <c r="H244" t="s">
        <v>489</v>
      </c>
      <c r="I244" t="s">
        <v>1370</v>
      </c>
      <c r="J244">
        <v>303.48200000000003</v>
      </c>
      <c r="K244" t="s">
        <v>1371</v>
      </c>
      <c r="L244" t="s">
        <v>20</v>
      </c>
      <c r="M244" t="s">
        <v>1372</v>
      </c>
    </row>
    <row r="245" spans="1:13" x14ac:dyDescent="0.25">
      <c r="A245">
        <v>1652464</v>
      </c>
      <c r="B245" t="s">
        <v>1373</v>
      </c>
      <c r="C245" t="str">
        <f>"9783110341331"</f>
        <v>9783110341331</v>
      </c>
      <c r="D245" t="str">
        <f>"9783110369267"</f>
        <v>9783110369267</v>
      </c>
      <c r="E245" t="s">
        <v>270</v>
      </c>
      <c r="F245" s="1">
        <v>41757</v>
      </c>
      <c r="G245" t="s">
        <v>1374</v>
      </c>
      <c r="H245" t="s">
        <v>239</v>
      </c>
      <c r="I245" t="s">
        <v>1375</v>
      </c>
      <c r="J245">
        <v>342.4</v>
      </c>
      <c r="K245" t="s">
        <v>1376</v>
      </c>
      <c r="L245" t="s">
        <v>291</v>
      </c>
      <c r="M245" t="s">
        <v>1377</v>
      </c>
    </row>
    <row r="246" spans="1:13" x14ac:dyDescent="0.25">
      <c r="A246">
        <v>1663091</v>
      </c>
      <c r="B246" t="s">
        <v>1378</v>
      </c>
      <c r="C246" t="str">
        <f>"9783110370102"</f>
        <v>9783110370102</v>
      </c>
      <c r="D246" t="str">
        <f>"9783110370119"</f>
        <v>9783110370119</v>
      </c>
      <c r="E246" t="s">
        <v>350</v>
      </c>
      <c r="F246" s="1">
        <v>41814</v>
      </c>
      <c r="G246" t="s">
        <v>1379</v>
      </c>
      <c r="H246" t="s">
        <v>1380</v>
      </c>
      <c r="I246" t="s">
        <v>1381</v>
      </c>
      <c r="J246">
        <v>380.1</v>
      </c>
      <c r="K246" t="s">
        <v>1382</v>
      </c>
      <c r="L246" t="s">
        <v>20</v>
      </c>
      <c r="M246" t="s">
        <v>1383</v>
      </c>
    </row>
    <row r="247" spans="1:13" x14ac:dyDescent="0.25">
      <c r="A247">
        <v>1663116</v>
      </c>
      <c r="B247" t="s">
        <v>1384</v>
      </c>
      <c r="C247" t="str">
        <f>"9783110356977"</f>
        <v>9783110356977</v>
      </c>
      <c r="D247" t="str">
        <f>"9783110363227"</f>
        <v>9783110363227</v>
      </c>
      <c r="E247" t="s">
        <v>350</v>
      </c>
      <c r="F247" s="1">
        <v>41925</v>
      </c>
      <c r="G247" t="s">
        <v>1385</v>
      </c>
      <c r="H247" t="s">
        <v>712</v>
      </c>
      <c r="I247" t="s">
        <v>1386</v>
      </c>
      <c r="J247">
        <v>4.0190000000000001</v>
      </c>
      <c r="K247" t="s">
        <v>1387</v>
      </c>
      <c r="L247" t="s">
        <v>291</v>
      </c>
      <c r="M247" t="s">
        <v>1388</v>
      </c>
    </row>
    <row r="248" spans="1:13" x14ac:dyDescent="0.25">
      <c r="A248">
        <v>1663129</v>
      </c>
      <c r="B248" t="s">
        <v>1389</v>
      </c>
      <c r="C248" t="str">
        <f>"9783486778410"</f>
        <v>9783486778410</v>
      </c>
      <c r="D248" t="str">
        <f>"9783110348736"</f>
        <v>9783110348736</v>
      </c>
      <c r="E248" t="s">
        <v>350</v>
      </c>
      <c r="F248" s="1">
        <v>41969</v>
      </c>
      <c r="G248" t="s">
        <v>1390</v>
      </c>
      <c r="H248" t="s">
        <v>1391</v>
      </c>
      <c r="I248" t="s">
        <v>1392</v>
      </c>
      <c r="J248">
        <v>641.33730000000003</v>
      </c>
      <c r="K248" t="s">
        <v>1393</v>
      </c>
      <c r="L248" t="s">
        <v>291</v>
      </c>
      <c r="M248" t="s">
        <v>1394</v>
      </c>
    </row>
    <row r="249" spans="1:13" x14ac:dyDescent="0.25">
      <c r="A249">
        <v>1663210</v>
      </c>
      <c r="B249" t="s">
        <v>1395</v>
      </c>
      <c r="C249" t="str">
        <f>"9783110370300"</f>
        <v>9783110370300</v>
      </c>
      <c r="D249" t="str">
        <f>"9783110370317"</f>
        <v>9783110370317</v>
      </c>
      <c r="E249" t="s">
        <v>350</v>
      </c>
      <c r="F249" s="1">
        <v>41824</v>
      </c>
      <c r="G249" t="s">
        <v>1396</v>
      </c>
      <c r="H249" t="s">
        <v>1397</v>
      </c>
      <c r="I249" t="s">
        <v>1398</v>
      </c>
      <c r="J249">
        <v>613.71</v>
      </c>
      <c r="K249" t="s">
        <v>1399</v>
      </c>
      <c r="L249" t="s">
        <v>20</v>
      </c>
      <c r="M249" t="s">
        <v>1400</v>
      </c>
    </row>
    <row r="250" spans="1:13" x14ac:dyDescent="0.25">
      <c r="A250">
        <v>1680085</v>
      </c>
      <c r="B250" t="s">
        <v>1401</v>
      </c>
      <c r="C250" t="str">
        <f>"9780813565309"</f>
        <v>9780813565309</v>
      </c>
      <c r="D250" t="str">
        <f>"9780813565392"</f>
        <v>9780813565392</v>
      </c>
      <c r="E250" t="s">
        <v>264</v>
      </c>
      <c r="F250" s="1">
        <v>41831</v>
      </c>
      <c r="G250" t="s">
        <v>1402</v>
      </c>
      <c r="H250" t="s">
        <v>70</v>
      </c>
      <c r="I250" t="s">
        <v>1403</v>
      </c>
      <c r="J250" t="s">
        <v>1404</v>
      </c>
      <c r="L250" t="s">
        <v>20</v>
      </c>
      <c r="M250" t="s">
        <v>1405</v>
      </c>
    </row>
    <row r="251" spans="1:13" x14ac:dyDescent="0.25">
      <c r="A251">
        <v>1685351</v>
      </c>
      <c r="B251" t="s">
        <v>1406</v>
      </c>
      <c r="C251" t="str">
        <f>"9783110372700"</f>
        <v>9783110372700</v>
      </c>
      <c r="D251" t="str">
        <f>"9783110372717"</f>
        <v>9783110372717</v>
      </c>
      <c r="E251" t="s">
        <v>350</v>
      </c>
      <c r="F251" s="1">
        <v>41878</v>
      </c>
      <c r="G251" t="s">
        <v>1407</v>
      </c>
      <c r="H251" t="s">
        <v>1408</v>
      </c>
      <c r="I251" t="s">
        <v>1409</v>
      </c>
      <c r="J251">
        <v>122</v>
      </c>
      <c r="K251" t="s">
        <v>1410</v>
      </c>
      <c r="L251" t="s">
        <v>20</v>
      </c>
      <c r="M251" t="s">
        <v>1411</v>
      </c>
    </row>
    <row r="252" spans="1:13" x14ac:dyDescent="0.25">
      <c r="A252">
        <v>1692429</v>
      </c>
      <c r="B252" t="s">
        <v>1412</v>
      </c>
      <c r="C252" t="str">
        <f>"9783110346022"</f>
        <v>9783110346022</v>
      </c>
      <c r="D252" t="str">
        <f>"9783110347227"</f>
        <v>9783110347227</v>
      </c>
      <c r="E252" t="s">
        <v>350</v>
      </c>
      <c r="F252" s="1">
        <v>41925</v>
      </c>
      <c r="G252" t="s">
        <v>1413</v>
      </c>
      <c r="H252" t="s">
        <v>139</v>
      </c>
      <c r="I252" t="s">
        <v>1414</v>
      </c>
      <c r="J252">
        <v>944.029</v>
      </c>
      <c r="K252" t="s">
        <v>1415</v>
      </c>
      <c r="L252" t="s">
        <v>1279</v>
      </c>
      <c r="M252" t="s">
        <v>1416</v>
      </c>
    </row>
    <row r="253" spans="1:13" x14ac:dyDescent="0.25">
      <c r="A253">
        <v>1692473</v>
      </c>
      <c r="B253" t="s">
        <v>1417</v>
      </c>
      <c r="C253" t="str">
        <f>"9783110346466"</f>
        <v>9783110346466</v>
      </c>
      <c r="D253" t="str">
        <f>"9783110346473"</f>
        <v>9783110346473</v>
      </c>
      <c r="E253" t="s">
        <v>270</v>
      </c>
      <c r="F253" s="1">
        <v>42118</v>
      </c>
      <c r="G253" t="s">
        <v>1418</v>
      </c>
      <c r="H253" t="s">
        <v>780</v>
      </c>
      <c r="I253" t="s">
        <v>1419</v>
      </c>
      <c r="J253" t="s">
        <v>1420</v>
      </c>
      <c r="K253" t="s">
        <v>1421</v>
      </c>
      <c r="L253" t="s">
        <v>20</v>
      </c>
      <c r="M253" t="s">
        <v>1422</v>
      </c>
    </row>
    <row r="254" spans="1:13" x14ac:dyDescent="0.25">
      <c r="A254">
        <v>1692483</v>
      </c>
      <c r="B254" t="s">
        <v>1423</v>
      </c>
      <c r="C254" t="str">
        <f>"9783110372649"</f>
        <v>9783110372649</v>
      </c>
      <c r="D254" t="str">
        <f>"9783110372656"</f>
        <v>9783110372656</v>
      </c>
      <c r="E254" t="s">
        <v>350</v>
      </c>
      <c r="F254" s="1">
        <v>41920</v>
      </c>
      <c r="G254" t="s">
        <v>1424</v>
      </c>
      <c r="H254" t="s">
        <v>16</v>
      </c>
      <c r="I254" t="s">
        <v>1425</v>
      </c>
      <c r="J254">
        <v>128.4</v>
      </c>
      <c r="K254" t="s">
        <v>1426</v>
      </c>
      <c r="L254" t="s">
        <v>20</v>
      </c>
      <c r="M254" t="s">
        <v>1427</v>
      </c>
    </row>
    <row r="255" spans="1:13" x14ac:dyDescent="0.25">
      <c r="A255">
        <v>1692485</v>
      </c>
      <c r="B255" t="s">
        <v>1428</v>
      </c>
      <c r="C255" t="str">
        <f>"9783110372328"</f>
        <v>9783110372328</v>
      </c>
      <c r="D255" t="str">
        <f>"9783110372335"</f>
        <v>9783110372335</v>
      </c>
      <c r="E255" t="s">
        <v>350</v>
      </c>
      <c r="F255" s="1">
        <v>41824</v>
      </c>
      <c r="G255" t="s">
        <v>1429</v>
      </c>
      <c r="H255" t="s">
        <v>743</v>
      </c>
      <c r="I255" t="s">
        <v>1430</v>
      </c>
      <c r="J255">
        <v>305</v>
      </c>
      <c r="K255" t="s">
        <v>1431</v>
      </c>
      <c r="L255" t="s">
        <v>20</v>
      </c>
      <c r="M255" t="s">
        <v>1432</v>
      </c>
    </row>
    <row r="256" spans="1:13" x14ac:dyDescent="0.25">
      <c r="A256">
        <v>1713021</v>
      </c>
      <c r="B256" t="s">
        <v>1433</v>
      </c>
      <c r="C256" t="str">
        <f>"9783110246117"</f>
        <v>9783110246117</v>
      </c>
      <c r="D256" t="str">
        <f>"9783110246124"</f>
        <v>9783110246124</v>
      </c>
      <c r="E256" t="s">
        <v>270</v>
      </c>
      <c r="F256" s="1">
        <v>41971</v>
      </c>
      <c r="G256" t="s">
        <v>1434</v>
      </c>
      <c r="H256" t="s">
        <v>266</v>
      </c>
      <c r="I256" t="s">
        <v>1435</v>
      </c>
      <c r="J256" t="s">
        <v>1436</v>
      </c>
      <c r="K256" t="s">
        <v>1437</v>
      </c>
      <c r="L256" t="s">
        <v>291</v>
      </c>
      <c r="M256" t="s">
        <v>1438</v>
      </c>
    </row>
    <row r="257" spans="1:13" x14ac:dyDescent="0.25">
      <c r="A257">
        <v>1713062</v>
      </c>
      <c r="B257" t="s">
        <v>1439</v>
      </c>
      <c r="C257" t="str">
        <f>"9783110371239"</f>
        <v>9783110371239</v>
      </c>
      <c r="D257" t="str">
        <f>"9783110371222"</f>
        <v>9783110371222</v>
      </c>
      <c r="E257" t="s">
        <v>270</v>
      </c>
      <c r="F257" s="1">
        <v>42033</v>
      </c>
      <c r="G257" t="s">
        <v>1440</v>
      </c>
      <c r="H257" t="s">
        <v>310</v>
      </c>
      <c r="I257" t="s">
        <v>1441</v>
      </c>
      <c r="J257">
        <v>271.00940902000002</v>
      </c>
      <c r="K257" t="s">
        <v>1442</v>
      </c>
      <c r="L257" t="s">
        <v>291</v>
      </c>
      <c r="M257" t="s">
        <v>1443</v>
      </c>
    </row>
    <row r="258" spans="1:13" x14ac:dyDescent="0.25">
      <c r="A258">
        <v>1727128</v>
      </c>
      <c r="B258" t="s">
        <v>1444</v>
      </c>
      <c r="C258" t="str">
        <f>"9783110401448"</f>
        <v>9783110401448</v>
      </c>
      <c r="D258" t="str">
        <f>"9783110401455"</f>
        <v>9783110401455</v>
      </c>
      <c r="E258" t="s">
        <v>350</v>
      </c>
      <c r="F258" s="1">
        <v>41848</v>
      </c>
      <c r="G258" t="s">
        <v>1445</v>
      </c>
      <c r="H258" t="s">
        <v>1446</v>
      </c>
      <c r="I258" t="s">
        <v>1447</v>
      </c>
      <c r="J258">
        <v>371.33</v>
      </c>
      <c r="K258" t="s">
        <v>1448</v>
      </c>
      <c r="L258" t="s">
        <v>20</v>
      </c>
      <c r="M258" t="s">
        <v>1449</v>
      </c>
    </row>
    <row r="259" spans="1:13" x14ac:dyDescent="0.25">
      <c r="A259">
        <v>1727151</v>
      </c>
      <c r="B259" t="s">
        <v>1450</v>
      </c>
      <c r="C259" t="str">
        <f>"9783110377163"</f>
        <v>9783110377163</v>
      </c>
      <c r="D259" t="str">
        <f>"9783110400724"</f>
        <v>9783110400724</v>
      </c>
      <c r="E259" t="s">
        <v>350</v>
      </c>
      <c r="F259" s="1">
        <v>41969</v>
      </c>
      <c r="G259" t="s">
        <v>1451</v>
      </c>
      <c r="H259" t="s">
        <v>139</v>
      </c>
      <c r="I259" t="s">
        <v>1452</v>
      </c>
      <c r="J259">
        <v>943.10874000000001</v>
      </c>
      <c r="K259" t="s">
        <v>1453</v>
      </c>
      <c r="L259" t="s">
        <v>291</v>
      </c>
      <c r="M259" t="s">
        <v>1454</v>
      </c>
    </row>
    <row r="260" spans="1:13" x14ac:dyDescent="0.25">
      <c r="A260">
        <v>1727155</v>
      </c>
      <c r="B260" t="s">
        <v>1455</v>
      </c>
      <c r="C260" t="str">
        <f>"9783110371307"</f>
        <v>9783110371307</v>
      </c>
      <c r="D260" t="str">
        <f>"9783110371345"</f>
        <v>9783110371345</v>
      </c>
      <c r="E260" t="s">
        <v>270</v>
      </c>
      <c r="F260" s="1">
        <v>41969</v>
      </c>
      <c r="G260" t="s">
        <v>1456</v>
      </c>
      <c r="H260" t="s">
        <v>594</v>
      </c>
      <c r="I260" t="s">
        <v>1457</v>
      </c>
      <c r="J260" t="s">
        <v>1458</v>
      </c>
      <c r="K260" t="s">
        <v>1459</v>
      </c>
      <c r="L260" t="s">
        <v>291</v>
      </c>
      <c r="M260" t="s">
        <v>1460</v>
      </c>
    </row>
    <row r="261" spans="1:13" x14ac:dyDescent="0.25">
      <c r="A261">
        <v>1727173</v>
      </c>
      <c r="B261" t="s">
        <v>1461</v>
      </c>
      <c r="C261" t="str">
        <f>"9783110371246"</f>
        <v>9783110371246</v>
      </c>
      <c r="D261" t="str">
        <f>"9783110371277"</f>
        <v>9783110371277</v>
      </c>
      <c r="E261" t="s">
        <v>270</v>
      </c>
      <c r="F261" s="1">
        <v>41969</v>
      </c>
      <c r="G261" t="s">
        <v>1462</v>
      </c>
      <c r="H261" t="s">
        <v>1463</v>
      </c>
      <c r="I261" t="s">
        <v>1464</v>
      </c>
      <c r="J261">
        <v>208.2</v>
      </c>
      <c r="K261" t="s">
        <v>1465</v>
      </c>
      <c r="L261" t="s">
        <v>291</v>
      </c>
      <c r="M261" t="s">
        <v>1466</v>
      </c>
    </row>
    <row r="262" spans="1:13" x14ac:dyDescent="0.25">
      <c r="A262">
        <v>1727238</v>
      </c>
      <c r="B262" t="s">
        <v>1467</v>
      </c>
      <c r="C262" t="str">
        <f>"9783110353044"</f>
        <v>9783110353044</v>
      </c>
      <c r="D262" t="str">
        <f>"9783110353587"</f>
        <v>9783110353587</v>
      </c>
      <c r="E262" t="s">
        <v>270</v>
      </c>
      <c r="F262" s="1">
        <v>41715</v>
      </c>
      <c r="G262" t="s">
        <v>1468</v>
      </c>
      <c r="H262" t="s">
        <v>1469</v>
      </c>
      <c r="I262" t="s">
        <v>1470</v>
      </c>
      <c r="J262">
        <v>302.22440899999998</v>
      </c>
      <c r="K262" t="s">
        <v>1471</v>
      </c>
      <c r="L262" t="s">
        <v>291</v>
      </c>
      <c r="M262" t="s">
        <v>1472</v>
      </c>
    </row>
    <row r="263" spans="1:13" x14ac:dyDescent="0.25">
      <c r="A263">
        <v>1744549</v>
      </c>
      <c r="B263" t="s">
        <v>1473</v>
      </c>
      <c r="C263" t="str">
        <f>"9783110402483"</f>
        <v>9783110402483</v>
      </c>
      <c r="D263" t="str">
        <f>"9783110402490"</f>
        <v>9783110402490</v>
      </c>
      <c r="E263" t="s">
        <v>350</v>
      </c>
      <c r="F263" s="1">
        <v>41920</v>
      </c>
      <c r="G263" t="s">
        <v>1474</v>
      </c>
      <c r="H263" t="s">
        <v>64</v>
      </c>
      <c r="I263" t="s">
        <v>1475</v>
      </c>
      <c r="J263">
        <v>306.87400000000002</v>
      </c>
      <c r="K263" t="s">
        <v>1476</v>
      </c>
      <c r="L263" t="s">
        <v>20</v>
      </c>
      <c r="M263" t="s">
        <v>1477</v>
      </c>
    </row>
    <row r="264" spans="1:13" x14ac:dyDescent="0.25">
      <c r="A264">
        <v>1744550</v>
      </c>
      <c r="B264" t="s">
        <v>1478</v>
      </c>
      <c r="C264" t="str">
        <f>"9783110370140"</f>
        <v>9783110370140</v>
      </c>
      <c r="D264" t="str">
        <f>"9783110370188"</f>
        <v>9783110370188</v>
      </c>
      <c r="E264" t="s">
        <v>270</v>
      </c>
      <c r="F264" s="1">
        <v>41878</v>
      </c>
      <c r="G264" t="s">
        <v>1479</v>
      </c>
      <c r="H264" t="s">
        <v>16</v>
      </c>
      <c r="I264" t="s">
        <v>1480</v>
      </c>
      <c r="J264">
        <v>128.4</v>
      </c>
      <c r="K264" t="s">
        <v>1481</v>
      </c>
      <c r="L264" t="s">
        <v>291</v>
      </c>
      <c r="M264" t="s">
        <v>1482</v>
      </c>
    </row>
    <row r="265" spans="1:13" x14ac:dyDescent="0.25">
      <c r="A265">
        <v>1744557</v>
      </c>
      <c r="B265" t="s">
        <v>1483</v>
      </c>
      <c r="C265" t="str">
        <f>"9783110401714"</f>
        <v>9783110401714</v>
      </c>
      <c r="D265" t="str">
        <f>"9783110401721"</f>
        <v>9783110401721</v>
      </c>
      <c r="E265" t="s">
        <v>350</v>
      </c>
      <c r="F265" s="1">
        <v>41920</v>
      </c>
      <c r="G265" t="s">
        <v>1484</v>
      </c>
      <c r="H265" t="s">
        <v>1485</v>
      </c>
      <c r="I265" t="s">
        <v>1486</v>
      </c>
      <c r="J265">
        <v>628</v>
      </c>
      <c r="K265" t="s">
        <v>1487</v>
      </c>
      <c r="L265" t="s">
        <v>20</v>
      </c>
      <c r="M265" t="s">
        <v>1488</v>
      </c>
    </row>
    <row r="266" spans="1:13" x14ac:dyDescent="0.25">
      <c r="A266">
        <v>1744558</v>
      </c>
      <c r="B266" t="s">
        <v>1489</v>
      </c>
      <c r="C266" t="str">
        <f>"9783110401691"</f>
        <v>9783110401691</v>
      </c>
      <c r="D266" t="str">
        <f>"9783110401707"</f>
        <v>9783110401707</v>
      </c>
      <c r="E266" t="s">
        <v>350</v>
      </c>
      <c r="F266" s="1">
        <v>41887</v>
      </c>
      <c r="G266" t="s">
        <v>1490</v>
      </c>
      <c r="H266" t="s">
        <v>851</v>
      </c>
      <c r="I266" t="s">
        <v>1491</v>
      </c>
      <c r="J266">
        <v>499.95</v>
      </c>
      <c r="K266" t="s">
        <v>1492</v>
      </c>
      <c r="L266" t="s">
        <v>20</v>
      </c>
      <c r="M266" t="s">
        <v>1493</v>
      </c>
    </row>
    <row r="267" spans="1:13" x14ac:dyDescent="0.25">
      <c r="A267">
        <v>1744595</v>
      </c>
      <c r="B267" t="s">
        <v>1494</v>
      </c>
      <c r="C267" t="str">
        <f>"9783110401738"</f>
        <v>9783110401738</v>
      </c>
      <c r="D267" t="str">
        <f>"9783110401745"</f>
        <v>9783110401745</v>
      </c>
      <c r="E267" t="s">
        <v>350</v>
      </c>
      <c r="F267" s="1">
        <v>41920</v>
      </c>
      <c r="G267" t="s">
        <v>1495</v>
      </c>
      <c r="H267" t="s">
        <v>64</v>
      </c>
      <c r="I267" t="s">
        <v>1496</v>
      </c>
      <c r="J267">
        <v>300</v>
      </c>
      <c r="K267" t="s">
        <v>1497</v>
      </c>
      <c r="L267" t="s">
        <v>20</v>
      </c>
      <c r="M267" t="s">
        <v>1498</v>
      </c>
    </row>
    <row r="268" spans="1:13" x14ac:dyDescent="0.25">
      <c r="A268">
        <v>1744596</v>
      </c>
      <c r="B268" t="s">
        <v>1499</v>
      </c>
      <c r="C268" t="str">
        <f>"9783110401493"</f>
        <v>9783110401493</v>
      </c>
      <c r="D268" t="str">
        <f>"9783110401509"</f>
        <v>9783110401509</v>
      </c>
      <c r="E268" t="s">
        <v>350</v>
      </c>
      <c r="F268" s="1">
        <v>42023</v>
      </c>
      <c r="G268" t="s">
        <v>1500</v>
      </c>
      <c r="H268" t="s">
        <v>1501</v>
      </c>
      <c r="I268" t="s">
        <v>1502</v>
      </c>
      <c r="J268">
        <v>623.81200000000001</v>
      </c>
      <c r="K268" t="s">
        <v>1503</v>
      </c>
      <c r="L268" t="s">
        <v>20</v>
      </c>
      <c r="M268" t="s">
        <v>1504</v>
      </c>
    </row>
    <row r="269" spans="1:13" x14ac:dyDescent="0.25">
      <c r="A269">
        <v>1759922</v>
      </c>
      <c r="B269" t="s">
        <v>1505</v>
      </c>
      <c r="C269" t="str">
        <f>"9783110371369"</f>
        <v>9783110371369</v>
      </c>
      <c r="D269" t="str">
        <f>"9783110371413"</f>
        <v>9783110371413</v>
      </c>
      <c r="E269" t="s">
        <v>270</v>
      </c>
      <c r="F269" s="1">
        <v>42033</v>
      </c>
      <c r="G269" t="s">
        <v>1506</v>
      </c>
      <c r="H269" t="s">
        <v>1507</v>
      </c>
      <c r="I269" t="s">
        <v>1508</v>
      </c>
      <c r="J269">
        <v>676.20939999999996</v>
      </c>
      <c r="K269" t="s">
        <v>1509</v>
      </c>
      <c r="L269" t="s">
        <v>291</v>
      </c>
      <c r="M269" t="s">
        <v>1510</v>
      </c>
    </row>
    <row r="270" spans="1:13" x14ac:dyDescent="0.25">
      <c r="A270">
        <v>1767601</v>
      </c>
      <c r="B270" t="s">
        <v>1511</v>
      </c>
      <c r="C270" t="str">
        <f>"9783110373462"</f>
        <v>9783110373462</v>
      </c>
      <c r="D270" t="str">
        <f>"9783110367430"</f>
        <v>9783110367430</v>
      </c>
      <c r="E270" t="s">
        <v>270</v>
      </c>
      <c r="F270" s="1">
        <v>42061</v>
      </c>
      <c r="G270" t="s">
        <v>1512</v>
      </c>
      <c r="H270" t="s">
        <v>1513</v>
      </c>
      <c r="I270" t="s">
        <v>1514</v>
      </c>
      <c r="J270">
        <v>900</v>
      </c>
      <c r="K270" t="s">
        <v>1515</v>
      </c>
      <c r="L270" t="s">
        <v>291</v>
      </c>
      <c r="M270" t="s">
        <v>1516</v>
      </c>
    </row>
    <row r="271" spans="1:13" x14ac:dyDescent="0.25">
      <c r="A271">
        <v>1783874</v>
      </c>
      <c r="B271" t="s">
        <v>1517</v>
      </c>
      <c r="C271" t="str">
        <f>"9783899497571"</f>
        <v>9783899497571</v>
      </c>
      <c r="D271" t="str">
        <f>"9783110402520"</f>
        <v>9783110402520</v>
      </c>
      <c r="E271" t="s">
        <v>270</v>
      </c>
      <c r="F271" s="1">
        <v>40317</v>
      </c>
      <c r="G271" t="s">
        <v>1518</v>
      </c>
      <c r="H271" t="s">
        <v>239</v>
      </c>
      <c r="I271" t="s">
        <v>1519</v>
      </c>
      <c r="J271">
        <v>340.9</v>
      </c>
      <c r="K271" t="s">
        <v>1520</v>
      </c>
      <c r="L271" t="s">
        <v>291</v>
      </c>
      <c r="M271" t="s">
        <v>1521</v>
      </c>
    </row>
    <row r="272" spans="1:13" x14ac:dyDescent="0.25">
      <c r="A272">
        <v>1787135</v>
      </c>
      <c r="B272" t="s">
        <v>1522</v>
      </c>
      <c r="C272" t="str">
        <f>"9783110373806"</f>
        <v>9783110373806</v>
      </c>
      <c r="D272" t="str">
        <f>"9783110399370"</f>
        <v>9783110399370</v>
      </c>
      <c r="E272" t="s">
        <v>270</v>
      </c>
      <c r="F272" s="1">
        <v>42118</v>
      </c>
      <c r="G272" t="s">
        <v>1523</v>
      </c>
      <c r="H272" t="s">
        <v>310</v>
      </c>
      <c r="I272" t="s">
        <v>1524</v>
      </c>
      <c r="J272">
        <v>270.10000000000002</v>
      </c>
      <c r="K272" t="s">
        <v>1525</v>
      </c>
      <c r="L272" t="s">
        <v>291</v>
      </c>
      <c r="M272" t="s">
        <v>1526</v>
      </c>
    </row>
    <row r="273" spans="1:13" x14ac:dyDescent="0.25">
      <c r="A273">
        <v>1787139</v>
      </c>
      <c r="B273" t="s">
        <v>1527</v>
      </c>
      <c r="C273" t="str">
        <f>"9783110411300"</f>
        <v>9783110411300</v>
      </c>
      <c r="D273" t="str">
        <f>"9783110411317"</f>
        <v>9783110411317</v>
      </c>
      <c r="E273" t="s">
        <v>350</v>
      </c>
      <c r="F273" s="1">
        <v>41974</v>
      </c>
      <c r="G273" t="s">
        <v>1528</v>
      </c>
      <c r="H273" t="s">
        <v>851</v>
      </c>
      <c r="I273" t="s">
        <v>1529</v>
      </c>
      <c r="J273">
        <v>491.935</v>
      </c>
      <c r="K273" t="s">
        <v>1530</v>
      </c>
      <c r="L273" t="s">
        <v>20</v>
      </c>
      <c r="M273" t="s">
        <v>1531</v>
      </c>
    </row>
    <row r="274" spans="1:13" x14ac:dyDescent="0.25">
      <c r="A274">
        <v>1787145</v>
      </c>
      <c r="B274" t="s">
        <v>1532</v>
      </c>
      <c r="C274" t="str">
        <f>"9788376560168"</f>
        <v>9788376560168</v>
      </c>
      <c r="D274" t="str">
        <f>"9788376560175"</f>
        <v>9788376560175</v>
      </c>
      <c r="E274" t="s">
        <v>350</v>
      </c>
      <c r="F274" s="1">
        <v>41505</v>
      </c>
      <c r="G274" t="s">
        <v>1533</v>
      </c>
      <c r="H274" t="s">
        <v>851</v>
      </c>
      <c r="I274" t="s">
        <v>1534</v>
      </c>
      <c r="J274">
        <v>418.02097099999997</v>
      </c>
      <c r="K274" t="s">
        <v>1535</v>
      </c>
      <c r="L274" t="s">
        <v>20</v>
      </c>
      <c r="M274" t="s">
        <v>1536</v>
      </c>
    </row>
    <row r="275" spans="1:13" x14ac:dyDescent="0.25">
      <c r="A275">
        <v>1787150</v>
      </c>
      <c r="B275" t="s">
        <v>1537</v>
      </c>
      <c r="C275" t="str">
        <f>"9783110411324"</f>
        <v>9783110411324</v>
      </c>
      <c r="D275" t="str">
        <f>"9783110411331"</f>
        <v>9783110411331</v>
      </c>
      <c r="E275" t="s">
        <v>350</v>
      </c>
      <c r="F275" s="1">
        <v>41988</v>
      </c>
      <c r="G275" t="s">
        <v>1538</v>
      </c>
      <c r="H275" t="s">
        <v>1539</v>
      </c>
      <c r="I275" t="s">
        <v>1540</v>
      </c>
      <c r="J275">
        <v>572</v>
      </c>
      <c r="K275" t="s">
        <v>1541</v>
      </c>
      <c r="L275" t="s">
        <v>20</v>
      </c>
      <c r="M275" t="s">
        <v>1542</v>
      </c>
    </row>
    <row r="276" spans="1:13" x14ac:dyDescent="0.25">
      <c r="A276">
        <v>1787195</v>
      </c>
      <c r="B276" t="s">
        <v>1543</v>
      </c>
      <c r="C276" t="str">
        <f>"9783110400434"</f>
        <v>9783110400434</v>
      </c>
      <c r="D276" t="str">
        <f>"9783110404951"</f>
        <v>9783110404951</v>
      </c>
      <c r="E276" t="s">
        <v>270</v>
      </c>
      <c r="F276" s="1">
        <v>42061</v>
      </c>
      <c r="G276" t="s">
        <v>1544</v>
      </c>
      <c r="H276" t="s">
        <v>1545</v>
      </c>
      <c r="I276" t="s">
        <v>1546</v>
      </c>
      <c r="J276">
        <v>731.8</v>
      </c>
      <c r="K276" t="s">
        <v>1547</v>
      </c>
      <c r="L276" t="s">
        <v>291</v>
      </c>
      <c r="M276" t="s">
        <v>1548</v>
      </c>
    </row>
    <row r="277" spans="1:13" x14ac:dyDescent="0.25">
      <c r="A277">
        <v>1787209</v>
      </c>
      <c r="B277" t="s">
        <v>1549</v>
      </c>
      <c r="C277" t="str">
        <f>"9783110410150"</f>
        <v>9783110410150</v>
      </c>
      <c r="D277" t="str">
        <f>"9783110410167"</f>
        <v>9783110410167</v>
      </c>
      <c r="E277" t="s">
        <v>350</v>
      </c>
      <c r="F277" s="1">
        <v>42143</v>
      </c>
      <c r="G277" t="s">
        <v>1550</v>
      </c>
      <c r="H277" t="s">
        <v>1551</v>
      </c>
      <c r="I277" t="s">
        <v>1552</v>
      </c>
      <c r="J277">
        <v>398.9</v>
      </c>
      <c r="K277" t="s">
        <v>1553</v>
      </c>
      <c r="L277" t="s">
        <v>20</v>
      </c>
      <c r="M277" t="s">
        <v>1554</v>
      </c>
    </row>
    <row r="278" spans="1:13" x14ac:dyDescent="0.25">
      <c r="A278">
        <v>1787212</v>
      </c>
      <c r="B278" t="s">
        <v>1555</v>
      </c>
      <c r="C278" t="str">
        <f>"9783110410198"</f>
        <v>9783110410198</v>
      </c>
      <c r="D278" t="str">
        <f>"9783110410204"</f>
        <v>9783110410204</v>
      </c>
      <c r="E278" t="s">
        <v>350</v>
      </c>
      <c r="F278" s="1">
        <v>41974</v>
      </c>
      <c r="G278" t="s">
        <v>1556</v>
      </c>
      <c r="H278" t="s">
        <v>139</v>
      </c>
      <c r="I278" t="s">
        <v>1557</v>
      </c>
      <c r="J278">
        <v>930.1028</v>
      </c>
      <c r="K278" t="s">
        <v>1558</v>
      </c>
      <c r="L278" t="s">
        <v>20</v>
      </c>
      <c r="M278" t="s">
        <v>1559</v>
      </c>
    </row>
    <row r="279" spans="1:13" x14ac:dyDescent="0.25">
      <c r="A279">
        <v>1787226</v>
      </c>
      <c r="B279" t="s">
        <v>1560</v>
      </c>
      <c r="C279" t="str">
        <f>"9783110401967"</f>
        <v>9783110401967</v>
      </c>
      <c r="D279" t="str">
        <f>"9783110402100"</f>
        <v>9783110402100</v>
      </c>
      <c r="E279" t="s">
        <v>350</v>
      </c>
      <c r="F279" s="1">
        <v>41974</v>
      </c>
      <c r="G279" t="s">
        <v>1561</v>
      </c>
      <c r="H279" t="s">
        <v>1562</v>
      </c>
      <c r="I279" t="s">
        <v>1563</v>
      </c>
      <c r="J279">
        <v>792.02800000000002</v>
      </c>
      <c r="K279" t="s">
        <v>1564</v>
      </c>
      <c r="L279" t="s">
        <v>20</v>
      </c>
      <c r="M279" t="s">
        <v>1565</v>
      </c>
    </row>
    <row r="280" spans="1:13" x14ac:dyDescent="0.25">
      <c r="A280">
        <v>1787230</v>
      </c>
      <c r="B280" t="s">
        <v>1566</v>
      </c>
      <c r="C280" t="str">
        <f>"9783110409451"</f>
        <v>9783110409451</v>
      </c>
      <c r="D280" t="str">
        <f>"9783110409475"</f>
        <v>9783110409475</v>
      </c>
      <c r="E280" t="s">
        <v>350</v>
      </c>
      <c r="F280" s="1">
        <v>41988</v>
      </c>
      <c r="G280" t="s">
        <v>1567</v>
      </c>
      <c r="H280" t="s">
        <v>1568</v>
      </c>
      <c r="I280" t="s">
        <v>1569</v>
      </c>
      <c r="J280">
        <v>510</v>
      </c>
      <c r="K280" t="s">
        <v>1570</v>
      </c>
      <c r="L280" t="s">
        <v>20</v>
      </c>
      <c r="M280" t="s">
        <v>1571</v>
      </c>
    </row>
    <row r="281" spans="1:13" x14ac:dyDescent="0.25">
      <c r="A281">
        <v>1787235</v>
      </c>
      <c r="B281" t="s">
        <v>1572</v>
      </c>
      <c r="C281" t="str">
        <f>"9783110409673"</f>
        <v>9783110409673</v>
      </c>
      <c r="D281" t="str">
        <f>"9783110409697"</f>
        <v>9783110409697</v>
      </c>
      <c r="E281" t="s">
        <v>350</v>
      </c>
      <c r="F281" s="1">
        <v>41920</v>
      </c>
      <c r="G281" t="s">
        <v>1573</v>
      </c>
      <c r="H281" t="s">
        <v>1574</v>
      </c>
      <c r="I281" t="s">
        <v>1575</v>
      </c>
      <c r="J281">
        <v>302.23099999999999</v>
      </c>
      <c r="K281" t="s">
        <v>1576</v>
      </c>
      <c r="L281" t="s">
        <v>20</v>
      </c>
      <c r="M281" t="s">
        <v>1577</v>
      </c>
    </row>
    <row r="282" spans="1:13" x14ac:dyDescent="0.25">
      <c r="A282">
        <v>1787238</v>
      </c>
      <c r="B282" t="s">
        <v>1578</v>
      </c>
      <c r="C282" t="str">
        <f>"9783110410174"</f>
        <v>9783110410174</v>
      </c>
      <c r="D282" t="str">
        <f>"9783110410181"</f>
        <v>9783110410181</v>
      </c>
      <c r="E282" t="s">
        <v>350</v>
      </c>
      <c r="F282" s="1">
        <v>41974</v>
      </c>
      <c r="G282" t="s">
        <v>1579</v>
      </c>
      <c r="H282" t="s">
        <v>1580</v>
      </c>
      <c r="I282" t="s">
        <v>1581</v>
      </c>
      <c r="J282">
        <v>543</v>
      </c>
      <c r="K282" t="s">
        <v>1582</v>
      </c>
      <c r="L282" t="s">
        <v>20</v>
      </c>
      <c r="M282" t="s">
        <v>1583</v>
      </c>
    </row>
    <row r="283" spans="1:13" x14ac:dyDescent="0.25">
      <c r="A283">
        <v>1787242</v>
      </c>
      <c r="B283" t="s">
        <v>1584</v>
      </c>
      <c r="C283" t="str">
        <f>"9783110410235"</f>
        <v>9783110410235</v>
      </c>
      <c r="D283" t="str">
        <f>"9783110410242"</f>
        <v>9783110410242</v>
      </c>
      <c r="E283" t="s">
        <v>350</v>
      </c>
      <c r="F283" s="1">
        <v>42089</v>
      </c>
      <c r="G283" t="s">
        <v>1585</v>
      </c>
      <c r="H283" t="s">
        <v>1586</v>
      </c>
      <c r="I283" t="s">
        <v>1587</v>
      </c>
      <c r="J283">
        <v>150.19880000000001</v>
      </c>
      <c r="K283" t="s">
        <v>1588</v>
      </c>
      <c r="L283" t="s">
        <v>20</v>
      </c>
      <c r="M283" t="s">
        <v>1589</v>
      </c>
    </row>
    <row r="284" spans="1:13" x14ac:dyDescent="0.25">
      <c r="A284">
        <v>1789533</v>
      </c>
      <c r="B284" t="s">
        <v>1590</v>
      </c>
      <c r="C284" t="str">
        <f>"9783110410211"</f>
        <v>9783110410211</v>
      </c>
      <c r="D284" t="str">
        <f>"9783110410228"</f>
        <v>9783110410228</v>
      </c>
      <c r="E284" t="s">
        <v>350</v>
      </c>
      <c r="F284" s="1">
        <v>41988</v>
      </c>
      <c r="G284" t="s">
        <v>1591</v>
      </c>
      <c r="H284" t="s">
        <v>64</v>
      </c>
      <c r="I284" t="s">
        <v>1592</v>
      </c>
      <c r="J284">
        <v>305.42096500000002</v>
      </c>
      <c r="K284" t="s">
        <v>1593</v>
      </c>
      <c r="L284" t="s">
        <v>20</v>
      </c>
      <c r="M284" t="s">
        <v>1594</v>
      </c>
    </row>
    <row r="285" spans="1:13" x14ac:dyDescent="0.25">
      <c r="A285">
        <v>1809928</v>
      </c>
      <c r="B285" t="s">
        <v>1595</v>
      </c>
      <c r="C285" t="str">
        <f>"9783110412611"</f>
        <v>9783110412611</v>
      </c>
      <c r="D285" t="str">
        <f>"9783110412628"</f>
        <v>9783110412628</v>
      </c>
      <c r="E285" t="s">
        <v>350</v>
      </c>
      <c r="F285" s="1">
        <v>42023</v>
      </c>
      <c r="G285" t="s">
        <v>1596</v>
      </c>
      <c r="H285" t="s">
        <v>266</v>
      </c>
      <c r="I285" t="s">
        <v>1597</v>
      </c>
      <c r="J285">
        <v>610</v>
      </c>
      <c r="K285" t="s">
        <v>1598</v>
      </c>
      <c r="L285" t="s">
        <v>20</v>
      </c>
      <c r="M285" t="s">
        <v>1599</v>
      </c>
    </row>
    <row r="286" spans="1:13" x14ac:dyDescent="0.25">
      <c r="A286">
        <v>1809930</v>
      </c>
      <c r="B286" t="s">
        <v>1600</v>
      </c>
      <c r="C286" t="str">
        <f>"9783110412765"</f>
        <v>9783110412765</v>
      </c>
      <c r="D286" t="str">
        <f>"9783110412772"</f>
        <v>9783110412772</v>
      </c>
      <c r="E286" t="s">
        <v>350</v>
      </c>
      <c r="F286" s="1">
        <v>42003</v>
      </c>
      <c r="G286" t="s">
        <v>1601</v>
      </c>
      <c r="H286" t="s">
        <v>489</v>
      </c>
      <c r="I286" t="s">
        <v>1602</v>
      </c>
      <c r="J286">
        <v>328.37299999999999</v>
      </c>
      <c r="K286" t="s">
        <v>1603</v>
      </c>
      <c r="L286" t="s">
        <v>20</v>
      </c>
      <c r="M286" t="s">
        <v>1604</v>
      </c>
    </row>
    <row r="287" spans="1:13" x14ac:dyDescent="0.25">
      <c r="A287">
        <v>1820380</v>
      </c>
      <c r="B287" t="s">
        <v>1605</v>
      </c>
      <c r="C287" t="str">
        <f>"9783110405835"</f>
        <v>9783110405835</v>
      </c>
      <c r="D287" t="str">
        <f>"9783110406597"</f>
        <v>9783110406597</v>
      </c>
      <c r="E287" t="s">
        <v>350</v>
      </c>
      <c r="F287" s="1">
        <v>41960</v>
      </c>
      <c r="G287" t="s">
        <v>1606</v>
      </c>
      <c r="H287" t="s">
        <v>266</v>
      </c>
      <c r="I287" t="s">
        <v>1607</v>
      </c>
      <c r="J287">
        <v>610.93799999999999</v>
      </c>
      <c r="K287" t="s">
        <v>1608</v>
      </c>
      <c r="L287" t="s">
        <v>1609</v>
      </c>
      <c r="M287" t="s">
        <v>1610</v>
      </c>
    </row>
    <row r="288" spans="1:13" x14ac:dyDescent="0.25">
      <c r="A288">
        <v>1820394</v>
      </c>
      <c r="B288" t="s">
        <v>1611</v>
      </c>
      <c r="C288" t="str">
        <f>"9783110374988"</f>
        <v>9783110374988</v>
      </c>
      <c r="D288" t="str">
        <f>"9783110369120"</f>
        <v>9783110369120</v>
      </c>
      <c r="E288" t="s">
        <v>270</v>
      </c>
      <c r="F288" s="1">
        <v>42061</v>
      </c>
      <c r="G288" t="s">
        <v>1612</v>
      </c>
      <c r="H288" t="s">
        <v>851</v>
      </c>
      <c r="I288" t="s">
        <v>1613</v>
      </c>
      <c r="J288">
        <v>420</v>
      </c>
      <c r="K288" t="s">
        <v>1614</v>
      </c>
      <c r="L288" t="s">
        <v>291</v>
      </c>
      <c r="M288" t="s">
        <v>1615</v>
      </c>
    </row>
    <row r="289" spans="1:13" x14ac:dyDescent="0.25">
      <c r="A289">
        <v>1826875</v>
      </c>
      <c r="B289" t="s">
        <v>1616</v>
      </c>
      <c r="C289" t="str">
        <f>"9789004281066"</f>
        <v>9789004281066</v>
      </c>
      <c r="D289" t="str">
        <f>"9789004281073"</f>
        <v>9789004281073</v>
      </c>
      <c r="E289" t="s">
        <v>997</v>
      </c>
      <c r="F289" s="1">
        <v>41940</v>
      </c>
      <c r="G289" t="s">
        <v>1617</v>
      </c>
      <c r="H289" t="s">
        <v>239</v>
      </c>
      <c r="I289" t="s">
        <v>1618</v>
      </c>
      <c r="J289" t="s">
        <v>1619</v>
      </c>
      <c r="K289" t="s">
        <v>1620</v>
      </c>
      <c r="L289" t="s">
        <v>20</v>
      </c>
      <c r="M289" t="s">
        <v>1621</v>
      </c>
    </row>
    <row r="290" spans="1:13" x14ac:dyDescent="0.25">
      <c r="A290">
        <v>1865296</v>
      </c>
      <c r="B290" t="s">
        <v>1622</v>
      </c>
      <c r="C290" t="str">
        <f>"9780813564692"</f>
        <v>9780813564692</v>
      </c>
      <c r="D290" t="str">
        <f>"9780813564708"</f>
        <v>9780813564708</v>
      </c>
      <c r="E290" t="s">
        <v>264</v>
      </c>
      <c r="F290" s="1">
        <v>41982</v>
      </c>
      <c r="G290" t="s">
        <v>1623</v>
      </c>
      <c r="H290" t="s">
        <v>1624</v>
      </c>
      <c r="I290" t="s">
        <v>1625</v>
      </c>
      <c r="J290">
        <v>362.19810000000001</v>
      </c>
      <c r="L290" t="s">
        <v>20</v>
      </c>
      <c r="M290" t="s">
        <v>1626</v>
      </c>
    </row>
    <row r="291" spans="1:13" x14ac:dyDescent="0.25">
      <c r="A291">
        <v>1867184</v>
      </c>
      <c r="B291" t="s">
        <v>1627</v>
      </c>
      <c r="C291" t="str">
        <f>"9783110417586"</f>
        <v>9783110417586</v>
      </c>
      <c r="D291" t="str">
        <f>"9783110417593"</f>
        <v>9783110417593</v>
      </c>
      <c r="E291" t="s">
        <v>350</v>
      </c>
      <c r="F291" s="1">
        <v>41974</v>
      </c>
      <c r="G291" t="s">
        <v>1628</v>
      </c>
      <c r="H291" t="s">
        <v>961</v>
      </c>
      <c r="I291" t="s">
        <v>1629</v>
      </c>
      <c r="J291">
        <v>301</v>
      </c>
      <c r="K291" t="s">
        <v>1630</v>
      </c>
      <c r="L291" t="s">
        <v>20</v>
      </c>
      <c r="M291" t="s">
        <v>1631</v>
      </c>
    </row>
    <row r="292" spans="1:13" x14ac:dyDescent="0.25">
      <c r="A292">
        <v>1867301</v>
      </c>
      <c r="B292" t="s">
        <v>1632</v>
      </c>
      <c r="C292" t="str">
        <f>"9783110420067"</f>
        <v>9783110420067</v>
      </c>
      <c r="D292" t="str">
        <f>"9783110422504"</f>
        <v>9783110422504</v>
      </c>
      <c r="E292" t="s">
        <v>350</v>
      </c>
      <c r="F292" s="1">
        <v>42004</v>
      </c>
      <c r="G292" t="s">
        <v>1633</v>
      </c>
      <c r="H292" t="s">
        <v>851</v>
      </c>
      <c r="I292" t="s">
        <v>1634</v>
      </c>
      <c r="J292">
        <v>410.10923478000001</v>
      </c>
      <c r="K292" t="s">
        <v>1635</v>
      </c>
      <c r="L292" t="s">
        <v>20</v>
      </c>
      <c r="M292" t="s">
        <v>1636</v>
      </c>
    </row>
    <row r="293" spans="1:13" x14ac:dyDescent="0.25">
      <c r="A293">
        <v>1867338</v>
      </c>
      <c r="B293" t="s">
        <v>1637</v>
      </c>
      <c r="C293" t="str">
        <f>"9783899495355"</f>
        <v>9783899495355</v>
      </c>
      <c r="D293" t="str">
        <f>"9783110977899"</f>
        <v>9783110977899</v>
      </c>
      <c r="E293" t="s">
        <v>270</v>
      </c>
      <c r="F293" s="1">
        <v>39932</v>
      </c>
      <c r="G293" t="s">
        <v>1638</v>
      </c>
      <c r="H293" t="s">
        <v>239</v>
      </c>
      <c r="I293" t="s">
        <v>1639</v>
      </c>
      <c r="J293" t="s">
        <v>1640</v>
      </c>
      <c r="K293" t="s">
        <v>1641</v>
      </c>
      <c r="L293" t="s">
        <v>291</v>
      </c>
      <c r="M293" t="s">
        <v>1642</v>
      </c>
    </row>
    <row r="294" spans="1:13" x14ac:dyDescent="0.25">
      <c r="A294">
        <v>1875445</v>
      </c>
      <c r="B294" t="s">
        <v>1643</v>
      </c>
      <c r="C294" t="str">
        <f>"9789004270114"</f>
        <v>9789004270114</v>
      </c>
      <c r="D294" t="str">
        <f>"9789004270121"</f>
        <v>9789004270121</v>
      </c>
      <c r="E294" t="s">
        <v>997</v>
      </c>
      <c r="F294" s="1">
        <v>41957</v>
      </c>
      <c r="G294" t="s">
        <v>1644</v>
      </c>
      <c r="H294" t="s">
        <v>310</v>
      </c>
      <c r="I294" t="s">
        <v>1645</v>
      </c>
      <c r="J294" t="s">
        <v>1646</v>
      </c>
      <c r="K294" t="s">
        <v>1647</v>
      </c>
      <c r="L294" t="s">
        <v>20</v>
      </c>
      <c r="M294" t="s">
        <v>1648</v>
      </c>
    </row>
    <row r="295" spans="1:13" x14ac:dyDescent="0.25">
      <c r="A295">
        <v>1875459</v>
      </c>
      <c r="B295" t="s">
        <v>1649</v>
      </c>
      <c r="C295" t="str">
        <f>"9789004282070"</f>
        <v>9789004282070</v>
      </c>
      <c r="D295" t="str">
        <f>"9789004282087"</f>
        <v>9789004282087</v>
      </c>
      <c r="E295" t="s">
        <v>997</v>
      </c>
      <c r="F295" s="1">
        <v>41957</v>
      </c>
      <c r="G295" t="s">
        <v>1650</v>
      </c>
      <c r="H295" t="s">
        <v>1651</v>
      </c>
      <c r="I295" t="s">
        <v>1652</v>
      </c>
      <c r="J295">
        <v>305</v>
      </c>
      <c r="K295" t="s">
        <v>1653</v>
      </c>
      <c r="L295" t="s">
        <v>20</v>
      </c>
      <c r="M295" t="s">
        <v>1654</v>
      </c>
    </row>
    <row r="296" spans="1:13" x14ac:dyDescent="0.25">
      <c r="A296">
        <v>1877182</v>
      </c>
      <c r="B296" t="s">
        <v>1655</v>
      </c>
      <c r="C296" t="str">
        <f>"9789004249592"</f>
        <v>9789004249592</v>
      </c>
      <c r="D296" t="str">
        <f>"9789004284340"</f>
        <v>9789004284340</v>
      </c>
      <c r="E296" t="s">
        <v>997</v>
      </c>
      <c r="F296" s="1">
        <v>41971</v>
      </c>
      <c r="G296" t="s">
        <v>1656</v>
      </c>
      <c r="H296" t="s">
        <v>1657</v>
      </c>
      <c r="I296" t="s">
        <v>1658</v>
      </c>
      <c r="J296" t="s">
        <v>1659</v>
      </c>
      <c r="K296" t="s">
        <v>1660</v>
      </c>
      <c r="L296" t="s">
        <v>20</v>
      </c>
      <c r="M296" t="s">
        <v>1661</v>
      </c>
    </row>
    <row r="297" spans="1:13" x14ac:dyDescent="0.25">
      <c r="A297">
        <v>1880410</v>
      </c>
      <c r="B297" t="s">
        <v>1662</v>
      </c>
      <c r="C297" t="str">
        <f>"9783110371284"</f>
        <v>9783110371284</v>
      </c>
      <c r="D297" t="str">
        <f>"9783110371291"</f>
        <v>9783110371291</v>
      </c>
      <c r="E297" t="s">
        <v>270</v>
      </c>
      <c r="F297" s="1">
        <v>42033</v>
      </c>
      <c r="G297" t="s">
        <v>1663</v>
      </c>
      <c r="H297" t="s">
        <v>1664</v>
      </c>
      <c r="I297" t="s">
        <v>1665</v>
      </c>
      <c r="J297">
        <v>128.4</v>
      </c>
      <c r="K297" t="s">
        <v>1666</v>
      </c>
      <c r="L297" t="s">
        <v>291</v>
      </c>
      <c r="M297" t="s">
        <v>1667</v>
      </c>
    </row>
    <row r="298" spans="1:13" x14ac:dyDescent="0.25">
      <c r="A298">
        <v>1880417</v>
      </c>
      <c r="B298" t="s">
        <v>1668</v>
      </c>
      <c r="C298" t="str">
        <f>"9783110426038"</f>
        <v>9783110426038</v>
      </c>
      <c r="D298" t="str">
        <f>"9783110426045"</f>
        <v>9783110426045</v>
      </c>
      <c r="E298" t="s">
        <v>350</v>
      </c>
      <c r="F298" s="1">
        <v>41988</v>
      </c>
      <c r="G298" t="s">
        <v>1669</v>
      </c>
      <c r="H298" t="s">
        <v>1178</v>
      </c>
      <c r="I298" t="s">
        <v>1670</v>
      </c>
      <c r="J298">
        <v>519.29999999999995</v>
      </c>
      <c r="K298" t="s">
        <v>1671</v>
      </c>
      <c r="L298" t="s">
        <v>20</v>
      </c>
      <c r="M298" t="s">
        <v>1672</v>
      </c>
    </row>
    <row r="299" spans="1:13" x14ac:dyDescent="0.25">
      <c r="A299">
        <v>1880440</v>
      </c>
      <c r="B299" t="s">
        <v>1673</v>
      </c>
      <c r="C299" t="str">
        <f>"9783110426380"</f>
        <v>9783110426380</v>
      </c>
      <c r="D299" t="str">
        <f>"9783110426403"</f>
        <v>9783110426403</v>
      </c>
      <c r="E299" t="s">
        <v>350</v>
      </c>
      <c r="F299" s="1">
        <v>42023</v>
      </c>
      <c r="G299" t="s">
        <v>1674</v>
      </c>
      <c r="H299" t="s">
        <v>1283</v>
      </c>
      <c r="I299" t="s">
        <v>1675</v>
      </c>
      <c r="J299" t="s">
        <v>1676</v>
      </c>
      <c r="K299" t="s">
        <v>1677</v>
      </c>
      <c r="L299" t="s">
        <v>20</v>
      </c>
      <c r="M299" t="s">
        <v>1678</v>
      </c>
    </row>
    <row r="300" spans="1:13" x14ac:dyDescent="0.25">
      <c r="A300">
        <v>1880442</v>
      </c>
      <c r="B300" t="s">
        <v>1679</v>
      </c>
      <c r="C300" t="str">
        <f>"9783110406931"</f>
        <v>9783110406931</v>
      </c>
      <c r="D300" t="str">
        <f>"9783110409239"</f>
        <v>9783110409239</v>
      </c>
      <c r="E300" t="s">
        <v>270</v>
      </c>
      <c r="F300" s="1">
        <v>42167</v>
      </c>
      <c r="G300" t="s">
        <v>1680</v>
      </c>
      <c r="H300" t="s">
        <v>139</v>
      </c>
      <c r="I300" t="s">
        <v>1681</v>
      </c>
      <c r="J300">
        <v>940.1</v>
      </c>
      <c r="K300" t="s">
        <v>1682</v>
      </c>
      <c r="L300" t="s">
        <v>1279</v>
      </c>
      <c r="M300" t="s">
        <v>1683</v>
      </c>
    </row>
    <row r="301" spans="1:13" x14ac:dyDescent="0.25">
      <c r="A301">
        <v>1880456</v>
      </c>
      <c r="B301" t="s">
        <v>1684</v>
      </c>
      <c r="C301" t="str">
        <f>"9783110426137"</f>
        <v>9783110426137</v>
      </c>
      <c r="D301" t="str">
        <f>"9783110426120"</f>
        <v>9783110426120</v>
      </c>
      <c r="E301" t="s">
        <v>350</v>
      </c>
      <c r="F301" s="1">
        <v>42089</v>
      </c>
      <c r="G301" t="s">
        <v>1685</v>
      </c>
      <c r="H301" t="s">
        <v>1178</v>
      </c>
      <c r="I301" t="s">
        <v>1686</v>
      </c>
      <c r="J301">
        <v>516.35</v>
      </c>
      <c r="K301" t="s">
        <v>1687</v>
      </c>
      <c r="L301" t="s">
        <v>20</v>
      </c>
      <c r="M301" t="s">
        <v>1688</v>
      </c>
    </row>
    <row r="302" spans="1:13" x14ac:dyDescent="0.25">
      <c r="A302">
        <v>1991830</v>
      </c>
      <c r="B302" t="s">
        <v>1689</v>
      </c>
      <c r="C302" t="str">
        <f>"9789004289628"</f>
        <v>9789004289628</v>
      </c>
      <c r="D302" t="str">
        <f>"9789004289635"</f>
        <v>9789004289635</v>
      </c>
      <c r="E302" t="s">
        <v>997</v>
      </c>
      <c r="F302" s="1">
        <v>42076</v>
      </c>
      <c r="G302" t="s">
        <v>1690</v>
      </c>
      <c r="H302" t="s">
        <v>851</v>
      </c>
      <c r="I302" t="s">
        <v>1691</v>
      </c>
      <c r="J302" t="s">
        <v>1692</v>
      </c>
      <c r="K302" t="s">
        <v>1693</v>
      </c>
      <c r="L302" t="s">
        <v>20</v>
      </c>
      <c r="M302" t="s">
        <v>1694</v>
      </c>
    </row>
    <row r="303" spans="1:13" x14ac:dyDescent="0.25">
      <c r="A303">
        <v>2035724</v>
      </c>
      <c r="B303" t="s">
        <v>1695</v>
      </c>
      <c r="C303" t="str">
        <f>"9783110412383"</f>
        <v>9783110412383</v>
      </c>
      <c r="D303" t="str">
        <f>"9783110415513"</f>
        <v>9783110415513</v>
      </c>
      <c r="E303" t="s">
        <v>350</v>
      </c>
      <c r="F303" s="1">
        <v>42076</v>
      </c>
      <c r="G303" t="s">
        <v>1696</v>
      </c>
      <c r="H303" t="s">
        <v>1229</v>
      </c>
      <c r="I303" t="s">
        <v>1697</v>
      </c>
      <c r="J303">
        <v>900</v>
      </c>
      <c r="K303" t="s">
        <v>1698</v>
      </c>
      <c r="L303" t="s">
        <v>291</v>
      </c>
      <c r="M303" t="s">
        <v>1699</v>
      </c>
    </row>
    <row r="304" spans="1:13" x14ac:dyDescent="0.25">
      <c r="A304">
        <v>2035733</v>
      </c>
      <c r="B304" t="s">
        <v>1700</v>
      </c>
      <c r="C304" t="str">
        <f>"9783110349634"</f>
        <v>9783110349634</v>
      </c>
      <c r="D304" t="str">
        <f>"9783110349702"</f>
        <v>9783110349702</v>
      </c>
      <c r="E304" t="s">
        <v>270</v>
      </c>
      <c r="F304" s="1">
        <v>42111</v>
      </c>
      <c r="G304" t="s">
        <v>1701</v>
      </c>
      <c r="H304" t="s">
        <v>310</v>
      </c>
      <c r="I304" t="s">
        <v>1702</v>
      </c>
      <c r="J304">
        <v>220.4</v>
      </c>
      <c r="K304" t="s">
        <v>1703</v>
      </c>
      <c r="L304" t="s">
        <v>291</v>
      </c>
      <c r="M304" t="s">
        <v>1704</v>
      </c>
    </row>
    <row r="305" spans="1:13" x14ac:dyDescent="0.25">
      <c r="A305">
        <v>2039372</v>
      </c>
      <c r="B305" t="s">
        <v>1705</v>
      </c>
      <c r="C305" t="str">
        <f>"9783110440010"</f>
        <v>9783110440010</v>
      </c>
      <c r="D305" t="str">
        <f>"9783110440027"</f>
        <v>9783110440027</v>
      </c>
      <c r="E305" t="s">
        <v>350</v>
      </c>
      <c r="F305" s="1">
        <v>42118</v>
      </c>
      <c r="G305" t="s">
        <v>1706</v>
      </c>
      <c r="H305" t="s">
        <v>1707</v>
      </c>
      <c r="I305" t="s">
        <v>1708</v>
      </c>
      <c r="J305">
        <v>662.65015100000005</v>
      </c>
      <c r="K305" t="s">
        <v>1709</v>
      </c>
      <c r="L305" t="s">
        <v>20</v>
      </c>
      <c r="M305" t="s">
        <v>1710</v>
      </c>
    </row>
    <row r="306" spans="1:13" x14ac:dyDescent="0.25">
      <c r="A306">
        <v>2039373</v>
      </c>
      <c r="B306" t="s">
        <v>1711</v>
      </c>
      <c r="C306" t="str">
        <f>"9783110440270"</f>
        <v>9783110440270</v>
      </c>
      <c r="D306" t="str">
        <f>"9783110440287"</f>
        <v>9783110440287</v>
      </c>
      <c r="E306" t="s">
        <v>350</v>
      </c>
      <c r="F306" s="1">
        <v>42118</v>
      </c>
      <c r="G306" t="s">
        <v>1712</v>
      </c>
      <c r="H306" t="s">
        <v>1056</v>
      </c>
      <c r="I306" t="s">
        <v>1713</v>
      </c>
      <c r="J306">
        <v>530.11</v>
      </c>
      <c r="K306" t="s">
        <v>1714</v>
      </c>
      <c r="L306" t="s">
        <v>20</v>
      </c>
      <c r="M306" t="s">
        <v>1715</v>
      </c>
    </row>
    <row r="307" spans="1:13" x14ac:dyDescent="0.25">
      <c r="A307">
        <v>2048598</v>
      </c>
      <c r="B307" t="s">
        <v>1716</v>
      </c>
      <c r="C307" t="str">
        <f>"9783110442052"</f>
        <v>9783110442052</v>
      </c>
      <c r="D307" t="str">
        <f>"9783110442069"</f>
        <v>9783110442069</v>
      </c>
      <c r="E307" t="s">
        <v>350</v>
      </c>
      <c r="F307" s="1">
        <v>42335</v>
      </c>
      <c r="G307" t="s">
        <v>1717</v>
      </c>
      <c r="H307" t="s">
        <v>1718</v>
      </c>
      <c r="I307" t="s">
        <v>1719</v>
      </c>
      <c r="J307">
        <v>515.10928374000002</v>
      </c>
      <c r="K307" t="s">
        <v>1720</v>
      </c>
      <c r="L307" t="s">
        <v>20</v>
      </c>
      <c r="M307" t="s">
        <v>1721</v>
      </c>
    </row>
    <row r="308" spans="1:13" x14ac:dyDescent="0.25">
      <c r="A308">
        <v>2056402</v>
      </c>
      <c r="B308" t="s">
        <v>1722</v>
      </c>
      <c r="C308" t="str">
        <f>"9783110404647"</f>
        <v>9783110404647</v>
      </c>
      <c r="D308" t="str">
        <f>"9783110404692"</f>
        <v>9783110404692</v>
      </c>
      <c r="E308" t="s">
        <v>350</v>
      </c>
      <c r="F308" s="1">
        <v>42151</v>
      </c>
      <c r="G308" t="s">
        <v>1723</v>
      </c>
      <c r="H308" t="s">
        <v>146</v>
      </c>
      <c r="I308" t="s">
        <v>1724</v>
      </c>
      <c r="J308">
        <v>327.73047000000003</v>
      </c>
      <c r="K308" t="s">
        <v>1725</v>
      </c>
      <c r="L308" t="s">
        <v>291</v>
      </c>
      <c r="M308" t="s">
        <v>1726</v>
      </c>
    </row>
    <row r="309" spans="1:13" x14ac:dyDescent="0.25">
      <c r="A309">
        <v>2058746</v>
      </c>
      <c r="B309" t="s">
        <v>1727</v>
      </c>
      <c r="C309" t="str">
        <f>"9789027258564"</f>
        <v>9789027258564</v>
      </c>
      <c r="D309" t="str">
        <f>"9789027268686"</f>
        <v>9789027268686</v>
      </c>
      <c r="E309" t="s">
        <v>1728</v>
      </c>
      <c r="F309" s="1">
        <v>42152</v>
      </c>
      <c r="G309" t="s">
        <v>1729</v>
      </c>
      <c r="H309" t="s">
        <v>1251</v>
      </c>
      <c r="I309" t="s">
        <v>1730</v>
      </c>
      <c r="J309" t="s">
        <v>1731</v>
      </c>
      <c r="K309" t="s">
        <v>1732</v>
      </c>
      <c r="L309" t="s">
        <v>20</v>
      </c>
      <c r="M309" t="s">
        <v>1733</v>
      </c>
    </row>
    <row r="310" spans="1:13" x14ac:dyDescent="0.25">
      <c r="A310">
        <v>2077560</v>
      </c>
      <c r="B310" t="s">
        <v>1734</v>
      </c>
      <c r="C310" t="str">
        <f>"9783110348163"</f>
        <v>9783110348163</v>
      </c>
      <c r="D310" t="str">
        <f>"9783110349122"</f>
        <v>9783110349122</v>
      </c>
      <c r="E310" t="s">
        <v>350</v>
      </c>
      <c r="F310" s="1">
        <v>42181</v>
      </c>
      <c r="G310" t="s">
        <v>1735</v>
      </c>
      <c r="H310" t="s">
        <v>239</v>
      </c>
      <c r="I310" t="s">
        <v>1736</v>
      </c>
      <c r="J310">
        <v>341</v>
      </c>
      <c r="K310" t="s">
        <v>1737</v>
      </c>
      <c r="L310" t="s">
        <v>291</v>
      </c>
      <c r="M310" t="s">
        <v>1738</v>
      </c>
    </row>
    <row r="311" spans="1:13" x14ac:dyDescent="0.25">
      <c r="A311">
        <v>2077563</v>
      </c>
      <c r="B311" t="s">
        <v>1739</v>
      </c>
      <c r="C311" t="str">
        <f>"9783110404760"</f>
        <v>9783110404760</v>
      </c>
      <c r="D311" t="str">
        <f>"9783110405033"</f>
        <v>9783110405033</v>
      </c>
      <c r="E311" t="s">
        <v>350</v>
      </c>
      <c r="F311" s="1">
        <v>42181</v>
      </c>
      <c r="G311" t="s">
        <v>1740</v>
      </c>
      <c r="H311" t="s">
        <v>1741</v>
      </c>
      <c r="I311" t="s">
        <v>1742</v>
      </c>
      <c r="J311">
        <v>343</v>
      </c>
      <c r="K311" t="s">
        <v>1743</v>
      </c>
      <c r="L311" t="s">
        <v>291</v>
      </c>
      <c r="M311" t="s">
        <v>1744</v>
      </c>
    </row>
    <row r="312" spans="1:13" x14ac:dyDescent="0.25">
      <c r="A312">
        <v>2077568</v>
      </c>
      <c r="B312" t="s">
        <v>1745</v>
      </c>
      <c r="C312" t="str">
        <f>"9783110412109"</f>
        <v>9783110412109</v>
      </c>
      <c r="D312" t="str">
        <f>"9783110415230"</f>
        <v>9783110415230</v>
      </c>
      <c r="E312" t="s">
        <v>270</v>
      </c>
      <c r="F312" s="1">
        <v>42181</v>
      </c>
      <c r="G312" t="s">
        <v>1746</v>
      </c>
      <c r="H312" t="s">
        <v>30</v>
      </c>
      <c r="I312" t="s">
        <v>1747</v>
      </c>
      <c r="J312" t="s">
        <v>1748</v>
      </c>
      <c r="K312" t="s">
        <v>1749</v>
      </c>
      <c r="L312" t="s">
        <v>291</v>
      </c>
      <c r="M312" t="s">
        <v>1750</v>
      </c>
    </row>
    <row r="313" spans="1:13" x14ac:dyDescent="0.25">
      <c r="A313">
        <v>2129552</v>
      </c>
      <c r="B313" t="s">
        <v>1751</v>
      </c>
      <c r="C313" t="str">
        <f>"9783486713527"</f>
        <v>9783486713527</v>
      </c>
      <c r="D313" t="str">
        <f>"9783110443509"</f>
        <v>9783110443509</v>
      </c>
      <c r="E313" t="s">
        <v>350</v>
      </c>
      <c r="F313" s="1">
        <v>41878</v>
      </c>
      <c r="G313" t="s">
        <v>1752</v>
      </c>
      <c r="H313" t="s">
        <v>1753</v>
      </c>
      <c r="I313" t="s">
        <v>1754</v>
      </c>
      <c r="J313">
        <v>658.1</v>
      </c>
      <c r="K313" t="s">
        <v>1755</v>
      </c>
      <c r="L313" t="s">
        <v>291</v>
      </c>
      <c r="M313" t="s">
        <v>1756</v>
      </c>
    </row>
    <row r="314" spans="1:13" x14ac:dyDescent="0.25">
      <c r="A314">
        <v>2129553</v>
      </c>
      <c r="B314" t="s">
        <v>1757</v>
      </c>
      <c r="C314" t="str">
        <f>"9783110374476"</f>
        <v>9783110374476</v>
      </c>
      <c r="D314" t="str">
        <f>"9783110443516"</f>
        <v>9783110443516</v>
      </c>
      <c r="E314" t="s">
        <v>350</v>
      </c>
      <c r="F314" s="1">
        <v>41985</v>
      </c>
      <c r="G314" t="s">
        <v>1758</v>
      </c>
      <c r="H314" t="s">
        <v>310</v>
      </c>
      <c r="I314" t="s">
        <v>1759</v>
      </c>
      <c r="J314">
        <v>270.60000000000002</v>
      </c>
      <c r="K314" t="s">
        <v>1760</v>
      </c>
      <c r="L314" t="s">
        <v>291</v>
      </c>
      <c r="M314" t="s">
        <v>1761</v>
      </c>
    </row>
    <row r="315" spans="1:13" x14ac:dyDescent="0.25">
      <c r="A315">
        <v>3016907</v>
      </c>
      <c r="B315" t="s">
        <v>1762</v>
      </c>
      <c r="C315" t="str">
        <f>"9780719066603"</f>
        <v>9780719066603</v>
      </c>
      <c r="D315" t="str">
        <f>"9781847791009"</f>
        <v>9781847791009</v>
      </c>
      <c r="E315" t="s">
        <v>14</v>
      </c>
      <c r="F315" s="1">
        <v>38200</v>
      </c>
      <c r="G315" t="s">
        <v>1763</v>
      </c>
      <c r="H315" t="s">
        <v>16</v>
      </c>
      <c r="I315" t="s">
        <v>1764</v>
      </c>
      <c r="J315">
        <v>133.43094090330001</v>
      </c>
      <c r="K315" t="s">
        <v>1765</v>
      </c>
      <c r="L315" t="s">
        <v>20</v>
      </c>
      <c r="M315" t="s">
        <v>1766</v>
      </c>
    </row>
    <row r="316" spans="1:13" x14ac:dyDescent="0.25">
      <c r="A316">
        <v>3040295</v>
      </c>
      <c r="B316" t="s">
        <v>1767</v>
      </c>
      <c r="C316" t="str">
        <f>"9783110199550"</f>
        <v>9783110199550</v>
      </c>
      <c r="D316" t="str">
        <f>"9783110921724"</f>
        <v>9783110921724</v>
      </c>
      <c r="E316" t="s">
        <v>270</v>
      </c>
      <c r="F316" s="1">
        <v>39220</v>
      </c>
      <c r="G316" t="s">
        <v>1768</v>
      </c>
      <c r="H316" t="s">
        <v>310</v>
      </c>
      <c r="I316" t="s">
        <v>1769</v>
      </c>
      <c r="J316">
        <v>270.209</v>
      </c>
      <c r="K316" t="s">
        <v>1770</v>
      </c>
      <c r="L316" t="s">
        <v>291</v>
      </c>
      <c r="M316" t="s">
        <v>1771</v>
      </c>
    </row>
    <row r="317" spans="1:13" x14ac:dyDescent="0.25">
      <c r="A317">
        <v>3041522</v>
      </c>
      <c r="B317" t="s">
        <v>1772</v>
      </c>
      <c r="C317" t="str">
        <f>"9783484630376"</f>
        <v>9783484630376</v>
      </c>
      <c r="D317" t="str">
        <f>"9783110928921"</f>
        <v>9783110928921</v>
      </c>
      <c r="E317" t="s">
        <v>270</v>
      </c>
      <c r="F317" s="1">
        <v>38604</v>
      </c>
      <c r="G317" t="s">
        <v>1773</v>
      </c>
      <c r="H317" t="s">
        <v>70</v>
      </c>
      <c r="I317" t="s">
        <v>1774</v>
      </c>
      <c r="K317" t="s">
        <v>1775</v>
      </c>
      <c r="L317" t="s">
        <v>291</v>
      </c>
      <c r="M317" t="s">
        <v>1776</v>
      </c>
    </row>
    <row r="318" spans="1:13" x14ac:dyDescent="0.25">
      <c r="A318">
        <v>3041543</v>
      </c>
      <c r="B318" t="s">
        <v>1777</v>
      </c>
      <c r="C318" t="str">
        <f>"9783110188998"</f>
        <v>9783110188998</v>
      </c>
      <c r="D318" t="str">
        <f>"9783110927405"</f>
        <v>9783110927405</v>
      </c>
      <c r="E318" t="s">
        <v>270</v>
      </c>
      <c r="F318" s="1">
        <v>38701</v>
      </c>
      <c r="G318" t="s">
        <v>1778</v>
      </c>
      <c r="H318" t="s">
        <v>139</v>
      </c>
      <c r="I318" t="s">
        <v>1779</v>
      </c>
      <c r="K318" t="s">
        <v>1780</v>
      </c>
      <c r="L318" t="s">
        <v>291</v>
      </c>
      <c r="M318" t="s">
        <v>1781</v>
      </c>
    </row>
    <row r="319" spans="1:13" x14ac:dyDescent="0.25">
      <c r="A319">
        <v>3041822</v>
      </c>
      <c r="B319" t="s">
        <v>1782</v>
      </c>
      <c r="C319" t="str">
        <f>"9783110104608"</f>
        <v>9783110104608</v>
      </c>
      <c r="D319" t="str">
        <f>"9783110906486"</f>
        <v>9783110906486</v>
      </c>
      <c r="E319" t="s">
        <v>270</v>
      </c>
      <c r="F319" s="1">
        <v>31079</v>
      </c>
      <c r="G319" t="s">
        <v>1783</v>
      </c>
      <c r="H319" t="s">
        <v>239</v>
      </c>
      <c r="I319" t="s">
        <v>1784</v>
      </c>
      <c r="K319" t="s">
        <v>1785</v>
      </c>
      <c r="L319" t="s">
        <v>291</v>
      </c>
      <c r="M319" t="s">
        <v>1786</v>
      </c>
    </row>
    <row r="320" spans="1:13" x14ac:dyDescent="0.25">
      <c r="A320">
        <v>3042124</v>
      </c>
      <c r="B320" t="s">
        <v>1787</v>
      </c>
      <c r="C320" t="str">
        <f>"9783110189209"</f>
        <v>9783110189209</v>
      </c>
      <c r="D320" t="str">
        <f>"9783110891621"</f>
        <v>9783110891621</v>
      </c>
      <c r="E320" t="s">
        <v>270</v>
      </c>
      <c r="F320" s="1">
        <v>38979</v>
      </c>
      <c r="G320" t="s">
        <v>1788</v>
      </c>
      <c r="H320" t="s">
        <v>310</v>
      </c>
      <c r="I320" t="s">
        <v>1789</v>
      </c>
      <c r="J320">
        <v>241.6</v>
      </c>
      <c r="K320" t="s">
        <v>1790</v>
      </c>
      <c r="L320" t="s">
        <v>291</v>
      </c>
      <c r="M320" t="s">
        <v>1791</v>
      </c>
    </row>
    <row r="321" spans="1:13" x14ac:dyDescent="0.25">
      <c r="A321">
        <v>3042681</v>
      </c>
      <c r="B321" t="s">
        <v>1792</v>
      </c>
      <c r="C321" t="str">
        <f>"9783110328615"</f>
        <v>9783110328615</v>
      </c>
      <c r="D321" t="str">
        <f>"9783110328950"</f>
        <v>9783110328950</v>
      </c>
      <c r="E321" t="s">
        <v>270</v>
      </c>
      <c r="F321" s="1">
        <v>39706</v>
      </c>
      <c r="G321" t="s">
        <v>1793</v>
      </c>
      <c r="H321" t="s">
        <v>16</v>
      </c>
      <c r="I321" t="s">
        <v>1794</v>
      </c>
      <c r="J321">
        <v>146</v>
      </c>
      <c r="K321" t="s">
        <v>1795</v>
      </c>
      <c r="L321" t="s">
        <v>20</v>
      </c>
      <c r="M321" t="s">
        <v>1796</v>
      </c>
    </row>
    <row r="322" spans="1:13" x14ac:dyDescent="0.25">
      <c r="A322">
        <v>3042721</v>
      </c>
      <c r="B322" t="s">
        <v>1797</v>
      </c>
      <c r="C322" t="str">
        <f>"9783110060171"</f>
        <v>9783110060171</v>
      </c>
      <c r="D322" t="str">
        <f>"9783110903263"</f>
        <v>9783110903263</v>
      </c>
      <c r="E322" t="s">
        <v>270</v>
      </c>
      <c r="F322" s="1">
        <v>32933</v>
      </c>
      <c r="G322" t="s">
        <v>1798</v>
      </c>
      <c r="H322" t="s">
        <v>239</v>
      </c>
      <c r="I322" t="s">
        <v>1799</v>
      </c>
      <c r="K322" t="s">
        <v>1800</v>
      </c>
      <c r="L322" t="s">
        <v>291</v>
      </c>
      <c r="M322" t="s">
        <v>1801</v>
      </c>
    </row>
    <row r="323" spans="1:13" x14ac:dyDescent="0.25">
      <c r="A323">
        <v>3042729</v>
      </c>
      <c r="B323" t="s">
        <v>1802</v>
      </c>
      <c r="C323" t="str">
        <f>"9783110060102"</f>
        <v>9783110060102</v>
      </c>
      <c r="D323" t="str">
        <f>"9783110900736"</f>
        <v>9783110900736</v>
      </c>
      <c r="E323" t="s">
        <v>270</v>
      </c>
      <c r="F323" s="1">
        <v>34912</v>
      </c>
      <c r="G323" t="s">
        <v>1803</v>
      </c>
      <c r="H323" t="s">
        <v>239</v>
      </c>
      <c r="I323" t="s">
        <v>1804</v>
      </c>
      <c r="K323" t="s">
        <v>1805</v>
      </c>
      <c r="L323" t="s">
        <v>291</v>
      </c>
      <c r="M323" t="s">
        <v>1806</v>
      </c>
    </row>
    <row r="324" spans="1:13" x14ac:dyDescent="0.25">
      <c r="A324">
        <v>3042731</v>
      </c>
      <c r="B324" t="s">
        <v>1807</v>
      </c>
      <c r="C324" t="str">
        <f>"9783110060140"</f>
        <v>9783110060140</v>
      </c>
      <c r="D324" t="str">
        <f>"9783110904499"</f>
        <v>9783110904499</v>
      </c>
      <c r="E324" t="s">
        <v>270</v>
      </c>
      <c r="F324" s="1">
        <v>26938</v>
      </c>
      <c r="G324" t="s">
        <v>1808</v>
      </c>
      <c r="H324" t="s">
        <v>239</v>
      </c>
      <c r="I324" t="s">
        <v>1809</v>
      </c>
      <c r="K324" t="s">
        <v>1810</v>
      </c>
      <c r="L324" t="s">
        <v>291</v>
      </c>
      <c r="M324" t="s">
        <v>1811</v>
      </c>
    </row>
    <row r="325" spans="1:13" x14ac:dyDescent="0.25">
      <c r="A325">
        <v>3042756</v>
      </c>
      <c r="B325" t="s">
        <v>1812</v>
      </c>
      <c r="C325" t="str">
        <f>"9783110060119"</f>
        <v>9783110060119</v>
      </c>
      <c r="D325" t="str">
        <f>"9783110900743"</f>
        <v>9783110900743</v>
      </c>
      <c r="E325" t="s">
        <v>270</v>
      </c>
      <c r="F325" s="1">
        <v>41311</v>
      </c>
      <c r="G325" t="s">
        <v>1813</v>
      </c>
      <c r="H325" t="s">
        <v>239</v>
      </c>
      <c r="I325" t="s">
        <v>1814</v>
      </c>
      <c r="K325" t="s">
        <v>1815</v>
      </c>
      <c r="L325" t="s">
        <v>291</v>
      </c>
      <c r="M325" t="s">
        <v>1816</v>
      </c>
    </row>
    <row r="326" spans="1:13" x14ac:dyDescent="0.25">
      <c r="A326">
        <v>3042757</v>
      </c>
      <c r="B326" t="s">
        <v>1817</v>
      </c>
      <c r="C326" t="str">
        <f>"9783110161557"</f>
        <v>9783110161557</v>
      </c>
      <c r="D326" t="str">
        <f>"9783110895834"</f>
        <v>9783110895834</v>
      </c>
      <c r="E326" t="s">
        <v>270</v>
      </c>
      <c r="F326" s="1">
        <v>35907</v>
      </c>
      <c r="G326" t="s">
        <v>1818</v>
      </c>
      <c r="H326" t="s">
        <v>239</v>
      </c>
      <c r="I326" t="s">
        <v>1819</v>
      </c>
      <c r="K326" t="s">
        <v>1820</v>
      </c>
      <c r="L326" t="s">
        <v>291</v>
      </c>
      <c r="M326" t="s">
        <v>1821</v>
      </c>
    </row>
    <row r="327" spans="1:13" x14ac:dyDescent="0.25">
      <c r="A327">
        <v>3042767</v>
      </c>
      <c r="B327" t="s">
        <v>1822</v>
      </c>
      <c r="C327" t="str">
        <f>"9783110125658"</f>
        <v>9783110125658</v>
      </c>
      <c r="D327" t="str">
        <f>"9783110894929"</f>
        <v>9783110894929</v>
      </c>
      <c r="E327" t="s">
        <v>270</v>
      </c>
      <c r="F327" s="1">
        <v>33178</v>
      </c>
      <c r="G327" t="s">
        <v>1823</v>
      </c>
      <c r="H327" t="s">
        <v>239</v>
      </c>
      <c r="I327" t="s">
        <v>1824</v>
      </c>
      <c r="K327" t="s">
        <v>1825</v>
      </c>
      <c r="L327" t="s">
        <v>291</v>
      </c>
      <c r="M327" t="s">
        <v>1826</v>
      </c>
    </row>
    <row r="328" spans="1:13" x14ac:dyDescent="0.25">
      <c r="A328">
        <v>3042780</v>
      </c>
      <c r="B328" t="s">
        <v>1827</v>
      </c>
      <c r="C328" t="str">
        <f>"9783110060126"</f>
        <v>9783110060126</v>
      </c>
      <c r="D328" t="str">
        <f>"9783110900750"</f>
        <v>9783110900750</v>
      </c>
      <c r="E328" t="s">
        <v>270</v>
      </c>
      <c r="F328" s="1">
        <v>24108</v>
      </c>
      <c r="G328" t="s">
        <v>1828</v>
      </c>
      <c r="H328" t="s">
        <v>239</v>
      </c>
      <c r="I328" t="s">
        <v>1829</v>
      </c>
      <c r="K328" t="s">
        <v>1830</v>
      </c>
      <c r="L328" t="s">
        <v>291</v>
      </c>
      <c r="M328" t="s">
        <v>1831</v>
      </c>
    </row>
    <row r="329" spans="1:13" x14ac:dyDescent="0.25">
      <c r="A329">
        <v>3042787</v>
      </c>
      <c r="B329" t="s">
        <v>1832</v>
      </c>
      <c r="C329" t="str">
        <f>"9783110125665"</f>
        <v>9783110125665</v>
      </c>
      <c r="D329" t="str">
        <f>"9783110894936"</f>
        <v>9783110894936</v>
      </c>
      <c r="E329" t="s">
        <v>270</v>
      </c>
      <c r="F329" s="1">
        <v>41311</v>
      </c>
      <c r="G329" t="s">
        <v>1833</v>
      </c>
      <c r="H329" t="s">
        <v>239</v>
      </c>
      <c r="I329" t="s">
        <v>1834</v>
      </c>
      <c r="K329" t="s">
        <v>1835</v>
      </c>
      <c r="L329" t="s">
        <v>291</v>
      </c>
      <c r="M329" t="s">
        <v>1836</v>
      </c>
    </row>
    <row r="330" spans="1:13" x14ac:dyDescent="0.25">
      <c r="A330">
        <v>3042790</v>
      </c>
      <c r="B330" t="s">
        <v>1837</v>
      </c>
      <c r="C330" t="str">
        <f>"9783110065794"</f>
        <v>9783110065794</v>
      </c>
      <c r="D330" t="str">
        <f>"9783110902631"</f>
        <v>9783110902631</v>
      </c>
      <c r="E330" t="s">
        <v>270</v>
      </c>
      <c r="F330" s="1">
        <v>27546</v>
      </c>
      <c r="G330" t="s">
        <v>1838</v>
      </c>
      <c r="H330" t="s">
        <v>239</v>
      </c>
      <c r="I330" t="s">
        <v>1839</v>
      </c>
      <c r="K330" t="s">
        <v>1840</v>
      </c>
      <c r="L330" t="s">
        <v>291</v>
      </c>
      <c r="M330" t="s">
        <v>1841</v>
      </c>
    </row>
    <row r="331" spans="1:13" x14ac:dyDescent="0.25">
      <c r="A331">
        <v>3042794</v>
      </c>
      <c r="B331" t="s">
        <v>1842</v>
      </c>
      <c r="C331" t="str">
        <f>"9783110174885"</f>
        <v>9783110174885</v>
      </c>
      <c r="D331" t="str">
        <f>"9783110898743"</f>
        <v>9783110898743</v>
      </c>
      <c r="E331" t="s">
        <v>270</v>
      </c>
      <c r="F331" s="1">
        <v>37372</v>
      </c>
      <c r="G331" t="s">
        <v>1843</v>
      </c>
      <c r="H331" t="s">
        <v>239</v>
      </c>
      <c r="I331" t="s">
        <v>1844</v>
      </c>
      <c r="K331" t="s">
        <v>1845</v>
      </c>
      <c r="L331" t="s">
        <v>291</v>
      </c>
      <c r="M331" t="s">
        <v>1846</v>
      </c>
    </row>
    <row r="332" spans="1:13" x14ac:dyDescent="0.25">
      <c r="A332">
        <v>3042810</v>
      </c>
      <c r="B332" t="s">
        <v>1847</v>
      </c>
      <c r="C332" t="str">
        <f>"9783899491234"</f>
        <v>9783899491234</v>
      </c>
      <c r="D332" t="str">
        <f>"9783110909852"</f>
        <v>9783110909852</v>
      </c>
      <c r="E332" t="s">
        <v>270</v>
      </c>
      <c r="F332" s="1">
        <v>38092</v>
      </c>
      <c r="G332" t="s">
        <v>1848</v>
      </c>
      <c r="H332" t="s">
        <v>239</v>
      </c>
      <c r="I332" t="s">
        <v>1849</v>
      </c>
      <c r="K332" t="s">
        <v>1850</v>
      </c>
      <c r="L332" t="s">
        <v>291</v>
      </c>
      <c r="M332" t="s">
        <v>1851</v>
      </c>
    </row>
    <row r="333" spans="1:13" x14ac:dyDescent="0.25">
      <c r="A333">
        <v>3042836</v>
      </c>
      <c r="B333" t="s">
        <v>1852</v>
      </c>
      <c r="C333" t="str">
        <f>"9783110168990"</f>
        <v>9783110168990</v>
      </c>
      <c r="D333" t="str">
        <f>"9783110893533"</f>
        <v>9783110893533</v>
      </c>
      <c r="E333" t="s">
        <v>270</v>
      </c>
      <c r="F333" s="1">
        <v>41323</v>
      </c>
      <c r="G333" t="s">
        <v>1853</v>
      </c>
      <c r="H333" t="s">
        <v>1753</v>
      </c>
      <c r="I333" t="s">
        <v>1854</v>
      </c>
      <c r="K333" t="s">
        <v>1855</v>
      </c>
      <c r="L333" t="s">
        <v>291</v>
      </c>
      <c r="M333" t="s">
        <v>1856</v>
      </c>
    </row>
    <row r="334" spans="1:13" x14ac:dyDescent="0.25">
      <c r="A334">
        <v>3042841</v>
      </c>
      <c r="B334" t="s">
        <v>1857</v>
      </c>
      <c r="C334" t="str">
        <f>"9783110066951"</f>
        <v>9783110066951</v>
      </c>
      <c r="D334" t="str">
        <f>"9783110902976"</f>
        <v>9783110902976</v>
      </c>
      <c r="E334" t="s">
        <v>270</v>
      </c>
      <c r="F334" s="1">
        <v>27851</v>
      </c>
      <c r="G334" t="s">
        <v>1858</v>
      </c>
      <c r="H334" t="s">
        <v>239</v>
      </c>
      <c r="I334" t="s">
        <v>1859</v>
      </c>
      <c r="K334" t="s">
        <v>1860</v>
      </c>
      <c r="L334" t="s">
        <v>291</v>
      </c>
      <c r="M334" t="s">
        <v>1861</v>
      </c>
    </row>
    <row r="335" spans="1:13" x14ac:dyDescent="0.25">
      <c r="A335">
        <v>3042847</v>
      </c>
      <c r="B335" t="s">
        <v>1862</v>
      </c>
      <c r="C335" t="str">
        <f>"9783110129441"</f>
        <v>9783110129441</v>
      </c>
      <c r="D335" t="str">
        <f>"9783110898156"</f>
        <v>9783110898156</v>
      </c>
      <c r="E335" t="s">
        <v>270</v>
      </c>
      <c r="F335" s="1">
        <v>33329</v>
      </c>
      <c r="G335" t="s">
        <v>1863</v>
      </c>
      <c r="H335" t="s">
        <v>239</v>
      </c>
      <c r="I335" t="s">
        <v>1864</v>
      </c>
      <c r="K335" t="s">
        <v>1865</v>
      </c>
      <c r="L335" t="s">
        <v>291</v>
      </c>
      <c r="M335" t="s">
        <v>1866</v>
      </c>
    </row>
    <row r="336" spans="1:13" x14ac:dyDescent="0.25">
      <c r="A336">
        <v>3042855</v>
      </c>
      <c r="B336" t="s">
        <v>1867</v>
      </c>
      <c r="C336" t="str">
        <f>"9783110117820"</f>
        <v>9783110117820</v>
      </c>
      <c r="D336" t="str">
        <f>"9783110894561"</f>
        <v>9783110894561</v>
      </c>
      <c r="E336" t="s">
        <v>270</v>
      </c>
      <c r="F336" s="1">
        <v>41206</v>
      </c>
      <c r="G336" t="s">
        <v>1868</v>
      </c>
      <c r="H336" t="s">
        <v>239</v>
      </c>
      <c r="I336" t="s">
        <v>1869</v>
      </c>
      <c r="K336" t="s">
        <v>1825</v>
      </c>
      <c r="L336" t="s">
        <v>291</v>
      </c>
      <c r="M336" t="s">
        <v>1870</v>
      </c>
    </row>
    <row r="337" spans="1:13" x14ac:dyDescent="0.25">
      <c r="A337">
        <v>3042879</v>
      </c>
      <c r="B337" t="s">
        <v>1871</v>
      </c>
      <c r="C337" t="str">
        <f>"9783110108033"</f>
        <v>9783110108033</v>
      </c>
      <c r="D337" t="str">
        <f>"9783110905885"</f>
        <v>9783110905885</v>
      </c>
      <c r="E337" t="s">
        <v>270</v>
      </c>
      <c r="F337" s="1">
        <v>31472</v>
      </c>
      <c r="G337" t="s">
        <v>1872</v>
      </c>
      <c r="H337" t="s">
        <v>30</v>
      </c>
      <c r="I337" t="s">
        <v>1873</v>
      </c>
      <c r="K337" t="s">
        <v>1874</v>
      </c>
      <c r="L337" t="s">
        <v>291</v>
      </c>
      <c r="M337" t="s">
        <v>1875</v>
      </c>
    </row>
    <row r="338" spans="1:13" x14ac:dyDescent="0.25">
      <c r="A338">
        <v>3042909</v>
      </c>
      <c r="B338" t="s">
        <v>1876</v>
      </c>
      <c r="C338" t="str">
        <f>"9783110152210"</f>
        <v>9783110152210</v>
      </c>
      <c r="D338" t="str">
        <f>"9783110898491"</f>
        <v>9783110898491</v>
      </c>
      <c r="E338" t="s">
        <v>270</v>
      </c>
      <c r="F338" s="1">
        <v>41206</v>
      </c>
      <c r="G338" t="s">
        <v>1877</v>
      </c>
      <c r="H338" t="s">
        <v>239</v>
      </c>
      <c r="I338" t="s">
        <v>1878</v>
      </c>
      <c r="K338" t="s">
        <v>1835</v>
      </c>
      <c r="L338" t="s">
        <v>291</v>
      </c>
      <c r="M338" t="s">
        <v>1879</v>
      </c>
    </row>
    <row r="339" spans="1:13" x14ac:dyDescent="0.25">
      <c r="A339">
        <v>3042911</v>
      </c>
      <c r="B339" t="s">
        <v>1880</v>
      </c>
      <c r="C339" t="str">
        <f>"9783110015737"</f>
        <v>9783110015737</v>
      </c>
      <c r="D339" t="str">
        <f>"9783110908831"</f>
        <v>9783110908831</v>
      </c>
      <c r="E339" t="s">
        <v>270</v>
      </c>
      <c r="F339" s="1">
        <v>41311</v>
      </c>
      <c r="G339" t="s">
        <v>1881</v>
      </c>
      <c r="H339" t="s">
        <v>239</v>
      </c>
      <c r="I339" t="s">
        <v>1882</v>
      </c>
      <c r="K339" t="s">
        <v>1883</v>
      </c>
      <c r="L339" t="s">
        <v>291</v>
      </c>
      <c r="M339" t="s">
        <v>1884</v>
      </c>
    </row>
    <row r="340" spans="1:13" x14ac:dyDescent="0.25">
      <c r="A340">
        <v>3042969</v>
      </c>
      <c r="B340" t="s">
        <v>1885</v>
      </c>
      <c r="C340" t="str">
        <f>"9783110057768"</f>
        <v>9783110057768</v>
      </c>
      <c r="D340" t="str">
        <f>"9783110893496"</f>
        <v>9783110893496</v>
      </c>
      <c r="E340" t="s">
        <v>270</v>
      </c>
      <c r="F340" s="1">
        <v>32933</v>
      </c>
      <c r="G340" t="s">
        <v>1886</v>
      </c>
      <c r="H340" t="s">
        <v>239</v>
      </c>
      <c r="I340" t="s">
        <v>1887</v>
      </c>
      <c r="K340" t="s">
        <v>1888</v>
      </c>
      <c r="L340" t="s">
        <v>291</v>
      </c>
      <c r="M340" t="s">
        <v>1889</v>
      </c>
    </row>
    <row r="341" spans="1:13" x14ac:dyDescent="0.25">
      <c r="A341">
        <v>3043002</v>
      </c>
      <c r="B341" t="s">
        <v>1890</v>
      </c>
      <c r="C341" t="str">
        <f>"9783110046687"</f>
        <v>9783110046687</v>
      </c>
      <c r="D341" t="str">
        <f>"9783110899085"</f>
        <v>9783110899085</v>
      </c>
      <c r="E341" t="s">
        <v>270</v>
      </c>
      <c r="F341" s="1">
        <v>34912</v>
      </c>
      <c r="G341" t="s">
        <v>1891</v>
      </c>
      <c r="H341" t="s">
        <v>239</v>
      </c>
      <c r="I341" t="s">
        <v>1892</v>
      </c>
      <c r="K341" t="s">
        <v>1893</v>
      </c>
      <c r="L341" t="s">
        <v>291</v>
      </c>
      <c r="M341" t="s">
        <v>1894</v>
      </c>
    </row>
    <row r="342" spans="1:13" x14ac:dyDescent="0.25">
      <c r="A342">
        <v>3043006</v>
      </c>
      <c r="B342" t="s">
        <v>1895</v>
      </c>
      <c r="C342" t="str">
        <f>"9783110045000"</f>
        <v>9783110045000</v>
      </c>
      <c r="D342" t="str">
        <f>"9783110903591"</f>
        <v>9783110903591</v>
      </c>
      <c r="E342" t="s">
        <v>270</v>
      </c>
      <c r="F342" s="1">
        <v>26908</v>
      </c>
      <c r="G342" t="s">
        <v>1896</v>
      </c>
      <c r="H342" t="s">
        <v>239</v>
      </c>
      <c r="I342" t="s">
        <v>1897</v>
      </c>
      <c r="K342" t="s">
        <v>1898</v>
      </c>
      <c r="L342" t="s">
        <v>291</v>
      </c>
      <c r="M342" t="s">
        <v>1899</v>
      </c>
    </row>
    <row r="343" spans="1:13" x14ac:dyDescent="0.25">
      <c r="A343">
        <v>3043022</v>
      </c>
      <c r="B343" t="s">
        <v>1900</v>
      </c>
      <c r="C343" t="str">
        <f>"9783110035346"</f>
        <v>9783110035346</v>
      </c>
      <c r="D343" t="str">
        <f>"9783110907605"</f>
        <v>9783110907605</v>
      </c>
      <c r="E343" t="s">
        <v>270</v>
      </c>
      <c r="F343" s="1">
        <v>25051</v>
      </c>
      <c r="G343" t="s">
        <v>1901</v>
      </c>
      <c r="H343" t="s">
        <v>30</v>
      </c>
      <c r="I343" t="s">
        <v>1902</v>
      </c>
      <c r="K343" t="s">
        <v>1903</v>
      </c>
      <c r="L343" t="s">
        <v>291</v>
      </c>
      <c r="M343" t="s">
        <v>1904</v>
      </c>
    </row>
    <row r="344" spans="1:13" x14ac:dyDescent="0.25">
      <c r="A344">
        <v>3043024</v>
      </c>
      <c r="B344" t="s">
        <v>1905</v>
      </c>
      <c r="C344" t="str">
        <f>"9783110060188"</f>
        <v>9783110060188</v>
      </c>
      <c r="D344" t="str">
        <f>"9783110906646"</f>
        <v>9783110906646</v>
      </c>
      <c r="E344" t="s">
        <v>270</v>
      </c>
      <c r="F344" s="1">
        <v>41311</v>
      </c>
      <c r="G344" t="s">
        <v>1906</v>
      </c>
      <c r="H344" t="s">
        <v>30</v>
      </c>
      <c r="I344" t="s">
        <v>1907</v>
      </c>
      <c r="K344" t="s">
        <v>1908</v>
      </c>
      <c r="L344" t="s">
        <v>291</v>
      </c>
      <c r="M344" t="s">
        <v>1909</v>
      </c>
    </row>
    <row r="345" spans="1:13" x14ac:dyDescent="0.25">
      <c r="A345">
        <v>3043028</v>
      </c>
      <c r="B345" t="s">
        <v>1910</v>
      </c>
      <c r="C345" t="str">
        <f>"9783110060133"</f>
        <v>9783110060133</v>
      </c>
      <c r="D345" t="str">
        <f>"9783110902013"</f>
        <v>9783110902013</v>
      </c>
      <c r="E345" t="s">
        <v>270</v>
      </c>
      <c r="F345" s="1">
        <v>27515</v>
      </c>
      <c r="G345" t="s">
        <v>1911</v>
      </c>
      <c r="H345" t="s">
        <v>239</v>
      </c>
      <c r="I345" t="s">
        <v>1912</v>
      </c>
      <c r="K345" t="s">
        <v>1913</v>
      </c>
      <c r="L345" t="s">
        <v>291</v>
      </c>
      <c r="M345" t="s">
        <v>1914</v>
      </c>
    </row>
    <row r="346" spans="1:13" x14ac:dyDescent="0.25">
      <c r="A346">
        <v>3043052</v>
      </c>
      <c r="B346" t="s">
        <v>1915</v>
      </c>
      <c r="C346" t="str">
        <f>"9783110060201"</f>
        <v>9783110060201</v>
      </c>
      <c r="D346" t="str">
        <f>"9783110906653"</f>
        <v>9783110906653</v>
      </c>
      <c r="E346" t="s">
        <v>270</v>
      </c>
      <c r="F346" s="1">
        <v>41311</v>
      </c>
      <c r="G346" t="s">
        <v>1916</v>
      </c>
      <c r="H346" t="s">
        <v>239</v>
      </c>
      <c r="I346" t="s">
        <v>1917</v>
      </c>
      <c r="K346" t="s">
        <v>1918</v>
      </c>
      <c r="L346" t="s">
        <v>291</v>
      </c>
      <c r="M346" t="s">
        <v>1919</v>
      </c>
    </row>
    <row r="347" spans="1:13" x14ac:dyDescent="0.25">
      <c r="A347">
        <v>3043058</v>
      </c>
      <c r="B347" t="s">
        <v>1920</v>
      </c>
      <c r="C347" t="str">
        <f>"9783110060164"</f>
        <v>9783110060164</v>
      </c>
      <c r="D347" t="str">
        <f>"9783110903256"</f>
        <v>9783110903256</v>
      </c>
      <c r="E347" t="s">
        <v>270</v>
      </c>
      <c r="F347" s="1">
        <v>41311</v>
      </c>
      <c r="G347" t="s">
        <v>1921</v>
      </c>
      <c r="H347" t="s">
        <v>239</v>
      </c>
      <c r="I347" t="s">
        <v>1922</v>
      </c>
      <c r="K347" t="s">
        <v>1923</v>
      </c>
      <c r="L347" t="s">
        <v>291</v>
      </c>
      <c r="M347" t="s">
        <v>1924</v>
      </c>
    </row>
    <row r="348" spans="1:13" x14ac:dyDescent="0.25">
      <c r="A348">
        <v>3043373</v>
      </c>
      <c r="B348" t="s">
        <v>1925</v>
      </c>
      <c r="C348" t="str">
        <f>"9783899490442"</f>
        <v>9783899490442</v>
      </c>
      <c r="D348" t="str">
        <f>"9783110922806"</f>
        <v>9783110922806</v>
      </c>
      <c r="E348" t="s">
        <v>270</v>
      </c>
      <c r="F348" s="1">
        <v>37678</v>
      </c>
      <c r="G348" t="s">
        <v>1926</v>
      </c>
      <c r="H348" t="s">
        <v>1927</v>
      </c>
      <c r="I348" t="s">
        <v>1928</v>
      </c>
      <c r="J348">
        <v>565</v>
      </c>
      <c r="K348" t="s">
        <v>1929</v>
      </c>
      <c r="L348" t="s">
        <v>291</v>
      </c>
      <c r="M348" t="s">
        <v>1930</v>
      </c>
    </row>
    <row r="349" spans="1:13" x14ac:dyDescent="0.25">
      <c r="A349">
        <v>3043578</v>
      </c>
      <c r="B349" t="s">
        <v>1931</v>
      </c>
      <c r="C349" t="str">
        <f>"9783110076974"</f>
        <v>9783110076974</v>
      </c>
      <c r="D349" t="str">
        <f>"9783110921588"</f>
        <v>9783110921588</v>
      </c>
      <c r="E349" t="s">
        <v>270</v>
      </c>
      <c r="F349" s="1">
        <v>28581</v>
      </c>
      <c r="G349" t="s">
        <v>1932</v>
      </c>
      <c r="H349" t="s">
        <v>1933</v>
      </c>
      <c r="I349" t="s">
        <v>1934</v>
      </c>
      <c r="J349">
        <v>426</v>
      </c>
      <c r="K349" t="s">
        <v>1935</v>
      </c>
      <c r="L349" t="s">
        <v>291</v>
      </c>
      <c r="M349" t="s">
        <v>1936</v>
      </c>
    </row>
    <row r="350" spans="1:13" x14ac:dyDescent="0.25">
      <c r="A350">
        <v>3043596</v>
      </c>
      <c r="B350" t="s">
        <v>1937</v>
      </c>
      <c r="C350" t="str">
        <f>"9783110143720"</f>
        <v>9783110143720</v>
      </c>
      <c r="D350" t="str">
        <f>"9783110921380"</f>
        <v>9783110921380</v>
      </c>
      <c r="E350" t="s">
        <v>270</v>
      </c>
      <c r="F350" s="1">
        <v>41338</v>
      </c>
      <c r="G350" t="s">
        <v>1938</v>
      </c>
      <c r="H350" t="s">
        <v>239</v>
      </c>
      <c r="I350" t="s">
        <v>1939</v>
      </c>
      <c r="J350" t="s">
        <v>1940</v>
      </c>
      <c r="K350" t="s">
        <v>1941</v>
      </c>
      <c r="L350" t="s">
        <v>291</v>
      </c>
      <c r="M350" t="s">
        <v>1942</v>
      </c>
    </row>
    <row r="351" spans="1:13" x14ac:dyDescent="0.25">
      <c r="A351">
        <v>3043663</v>
      </c>
      <c r="B351" t="s">
        <v>1943</v>
      </c>
      <c r="C351" t="str">
        <f>"9783110086140"</f>
        <v>9783110086140</v>
      </c>
      <c r="D351" t="str">
        <f>"9783110921502"</f>
        <v>9783110921502</v>
      </c>
      <c r="E351" t="s">
        <v>270</v>
      </c>
      <c r="F351" s="1">
        <v>41206</v>
      </c>
      <c r="G351" t="s">
        <v>1944</v>
      </c>
      <c r="H351" t="s">
        <v>239</v>
      </c>
      <c r="I351" t="s">
        <v>1945</v>
      </c>
      <c r="J351" t="s">
        <v>1946</v>
      </c>
      <c r="K351" t="s">
        <v>1947</v>
      </c>
      <c r="L351" t="s">
        <v>291</v>
      </c>
      <c r="M351" t="s">
        <v>1948</v>
      </c>
    </row>
    <row r="352" spans="1:13" x14ac:dyDescent="0.25">
      <c r="A352">
        <v>3044097</v>
      </c>
      <c r="B352" t="s">
        <v>1949</v>
      </c>
      <c r="C352" t="str">
        <f>"9783110060232"</f>
        <v>9783110060232</v>
      </c>
      <c r="D352" t="str">
        <f>"9783110874891"</f>
        <v>9783110874891</v>
      </c>
      <c r="E352" t="s">
        <v>270</v>
      </c>
      <c r="F352" s="1">
        <v>41323</v>
      </c>
      <c r="G352" t="s">
        <v>1950</v>
      </c>
      <c r="H352" t="s">
        <v>1951</v>
      </c>
      <c r="I352" t="s">
        <v>1952</v>
      </c>
      <c r="J352">
        <v>303</v>
      </c>
      <c r="K352" t="s">
        <v>1953</v>
      </c>
      <c r="L352" t="s">
        <v>291</v>
      </c>
      <c r="M352" t="s">
        <v>1954</v>
      </c>
    </row>
    <row r="353" spans="1:13" x14ac:dyDescent="0.25">
      <c r="A353">
        <v>3044111</v>
      </c>
      <c r="B353" t="s">
        <v>1955</v>
      </c>
      <c r="C353" t="str">
        <f>"9783110060041"</f>
        <v>9783110060041</v>
      </c>
      <c r="D353" t="str">
        <f>"9783110888218"</f>
        <v>9783110888218</v>
      </c>
      <c r="E353" t="s">
        <v>270</v>
      </c>
      <c r="F353" s="1">
        <v>41311</v>
      </c>
      <c r="G353" t="s">
        <v>1956</v>
      </c>
      <c r="H353" t="s">
        <v>1957</v>
      </c>
      <c r="I353" t="s">
        <v>1958</v>
      </c>
      <c r="J353">
        <v>269</v>
      </c>
      <c r="K353" t="s">
        <v>1959</v>
      </c>
      <c r="L353" t="s">
        <v>291</v>
      </c>
      <c r="M353" t="s">
        <v>1960</v>
      </c>
    </row>
    <row r="354" spans="1:13" x14ac:dyDescent="0.25">
      <c r="A354">
        <v>3044122</v>
      </c>
      <c r="B354" t="s">
        <v>1961</v>
      </c>
      <c r="C354" t="str">
        <f>"9783110060270"</f>
        <v>9783110060270</v>
      </c>
      <c r="D354" t="str">
        <f>"9783110876376"</f>
        <v>9783110876376</v>
      </c>
      <c r="E354" t="s">
        <v>270</v>
      </c>
      <c r="F354" s="1">
        <v>41323</v>
      </c>
      <c r="G354" t="s">
        <v>1962</v>
      </c>
      <c r="H354" t="s">
        <v>1957</v>
      </c>
      <c r="I354" t="s">
        <v>1963</v>
      </c>
      <c r="J354">
        <v>262.89999999999998</v>
      </c>
      <c r="K354" t="s">
        <v>1964</v>
      </c>
      <c r="L354" t="s">
        <v>291</v>
      </c>
      <c r="M354" t="s">
        <v>1965</v>
      </c>
    </row>
    <row r="355" spans="1:13" x14ac:dyDescent="0.25">
      <c r="A355">
        <v>3044142</v>
      </c>
      <c r="B355" t="s">
        <v>1966</v>
      </c>
      <c r="C355" t="str">
        <f>"9783110060287"</f>
        <v>9783110060287</v>
      </c>
      <c r="D355" t="str">
        <f>"9783110877342"</f>
        <v>9783110877342</v>
      </c>
      <c r="E355" t="s">
        <v>270</v>
      </c>
      <c r="F355" s="1">
        <v>25324</v>
      </c>
      <c r="G355" t="s">
        <v>1967</v>
      </c>
      <c r="H355" t="s">
        <v>239</v>
      </c>
      <c r="I355" t="s">
        <v>1968</v>
      </c>
      <c r="K355" t="s">
        <v>1969</v>
      </c>
      <c r="L355" t="s">
        <v>291</v>
      </c>
      <c r="M355" t="s">
        <v>1970</v>
      </c>
    </row>
    <row r="356" spans="1:13" x14ac:dyDescent="0.25">
      <c r="A356">
        <v>3044152</v>
      </c>
      <c r="B356" t="s">
        <v>1971</v>
      </c>
      <c r="C356" t="str">
        <f>"9783110080254"</f>
        <v>9783110080254</v>
      </c>
      <c r="D356" t="str">
        <f>"9783110880489"</f>
        <v>9783110880489</v>
      </c>
      <c r="E356" t="s">
        <v>270</v>
      </c>
      <c r="F356" s="1">
        <v>28976</v>
      </c>
      <c r="G356" t="s">
        <v>1972</v>
      </c>
      <c r="H356" t="s">
        <v>239</v>
      </c>
      <c r="I356" t="s">
        <v>1973</v>
      </c>
      <c r="J356">
        <v>342</v>
      </c>
      <c r="K356" t="s">
        <v>1974</v>
      </c>
      <c r="L356" t="s">
        <v>291</v>
      </c>
      <c r="M356" t="s">
        <v>1975</v>
      </c>
    </row>
    <row r="357" spans="1:13" x14ac:dyDescent="0.25">
      <c r="A357">
        <v>3044166</v>
      </c>
      <c r="B357" t="s">
        <v>1976</v>
      </c>
      <c r="C357" t="str">
        <f>"9783110100266"</f>
        <v>9783110100266</v>
      </c>
      <c r="D357" t="str">
        <f>"9783110871104"</f>
        <v>9783110871104</v>
      </c>
      <c r="E357" t="s">
        <v>270</v>
      </c>
      <c r="F357" s="1">
        <v>30742</v>
      </c>
      <c r="G357" t="s">
        <v>1977</v>
      </c>
      <c r="H357" t="s">
        <v>1753</v>
      </c>
      <c r="I357" t="s">
        <v>1978</v>
      </c>
      <c r="K357" t="s">
        <v>1979</v>
      </c>
      <c r="L357" t="s">
        <v>291</v>
      </c>
      <c r="M357" t="s">
        <v>1980</v>
      </c>
    </row>
    <row r="358" spans="1:13" x14ac:dyDescent="0.25">
      <c r="A358">
        <v>3044173</v>
      </c>
      <c r="B358" t="s">
        <v>1981</v>
      </c>
      <c r="C358" t="str">
        <f>"9783110140101"</f>
        <v>9783110140101</v>
      </c>
      <c r="D358" t="str">
        <f>"9783110891270"</f>
        <v>9783110891270</v>
      </c>
      <c r="E358" t="s">
        <v>270</v>
      </c>
      <c r="F358" s="1">
        <v>34121</v>
      </c>
      <c r="G358" t="s">
        <v>1982</v>
      </c>
      <c r="H358" t="s">
        <v>1983</v>
      </c>
      <c r="I358" t="s">
        <v>1984</v>
      </c>
      <c r="J358">
        <v>411</v>
      </c>
      <c r="K358" t="s">
        <v>1985</v>
      </c>
      <c r="L358" t="s">
        <v>291</v>
      </c>
      <c r="M358" t="s">
        <v>1986</v>
      </c>
    </row>
    <row r="359" spans="1:13" x14ac:dyDescent="0.25">
      <c r="A359">
        <v>3044193</v>
      </c>
      <c r="B359" t="s">
        <v>1987</v>
      </c>
      <c r="C359" t="str">
        <f>"9783110097733"</f>
        <v>9783110097733</v>
      </c>
      <c r="D359" t="str">
        <f>"9783110873818"</f>
        <v>9783110873818</v>
      </c>
      <c r="E359" t="s">
        <v>270</v>
      </c>
      <c r="F359" s="1">
        <v>41311</v>
      </c>
      <c r="G359" t="s">
        <v>1988</v>
      </c>
      <c r="H359" t="s">
        <v>239</v>
      </c>
      <c r="I359" t="s">
        <v>1989</v>
      </c>
      <c r="K359" t="s">
        <v>1990</v>
      </c>
      <c r="L359" t="s">
        <v>291</v>
      </c>
      <c r="M359" t="s">
        <v>1991</v>
      </c>
    </row>
    <row r="360" spans="1:13" x14ac:dyDescent="0.25">
      <c r="A360">
        <v>3044217</v>
      </c>
      <c r="B360" t="s">
        <v>1992</v>
      </c>
      <c r="C360" t="str">
        <f>"9783110148510"</f>
        <v>9783110148510</v>
      </c>
      <c r="D360" t="str">
        <f>"9783110875096"</f>
        <v>9783110875096</v>
      </c>
      <c r="E360" t="s">
        <v>270</v>
      </c>
      <c r="F360" s="1">
        <v>41323</v>
      </c>
      <c r="G360" t="s">
        <v>1993</v>
      </c>
      <c r="H360" t="s">
        <v>239</v>
      </c>
      <c r="I360" t="s">
        <v>1994</v>
      </c>
      <c r="K360" t="s">
        <v>1995</v>
      </c>
      <c r="L360" t="s">
        <v>291</v>
      </c>
      <c r="M360" t="s">
        <v>1996</v>
      </c>
    </row>
    <row r="361" spans="1:13" x14ac:dyDescent="0.25">
      <c r="A361">
        <v>3044257</v>
      </c>
      <c r="B361" t="s">
        <v>1997</v>
      </c>
      <c r="C361" t="str">
        <f>"9783110060263"</f>
        <v>9783110060263</v>
      </c>
      <c r="D361" t="str">
        <f>"9783110875980"</f>
        <v>9783110875980</v>
      </c>
      <c r="E361" t="s">
        <v>270</v>
      </c>
      <c r="F361" s="1">
        <v>41323</v>
      </c>
      <c r="G361" t="s">
        <v>1998</v>
      </c>
      <c r="H361" t="s">
        <v>239</v>
      </c>
      <c r="I361" t="s">
        <v>1999</v>
      </c>
      <c r="K361" t="s">
        <v>2000</v>
      </c>
      <c r="L361" t="s">
        <v>291</v>
      </c>
      <c r="M361" t="s">
        <v>2001</v>
      </c>
    </row>
    <row r="362" spans="1:13" x14ac:dyDescent="0.25">
      <c r="A362">
        <v>3044260</v>
      </c>
      <c r="B362" t="s">
        <v>2002</v>
      </c>
      <c r="C362" t="str">
        <f>"9783110073225"</f>
        <v>9783110073225</v>
      </c>
      <c r="D362" t="str">
        <f>"9783110890099"</f>
        <v>9783110890099</v>
      </c>
      <c r="E362" t="s">
        <v>270</v>
      </c>
      <c r="F362" s="1">
        <v>41311</v>
      </c>
      <c r="G362" t="s">
        <v>2003</v>
      </c>
      <c r="H362" t="s">
        <v>2004</v>
      </c>
      <c r="I362" t="s">
        <v>2005</v>
      </c>
      <c r="J362">
        <v>376</v>
      </c>
      <c r="K362" t="s">
        <v>2006</v>
      </c>
      <c r="L362" t="s">
        <v>291</v>
      </c>
      <c r="M362" t="s">
        <v>2007</v>
      </c>
    </row>
    <row r="363" spans="1:13" x14ac:dyDescent="0.25">
      <c r="A363">
        <v>3044269</v>
      </c>
      <c r="B363" t="s">
        <v>2008</v>
      </c>
      <c r="C363" t="str">
        <f>"9783110060218"</f>
        <v>9783110060218</v>
      </c>
      <c r="D363" t="str">
        <f>"9783110875102"</f>
        <v>9783110875102</v>
      </c>
      <c r="E363" t="s">
        <v>270</v>
      </c>
      <c r="F363" s="1">
        <v>41311</v>
      </c>
      <c r="G363" t="s">
        <v>2009</v>
      </c>
      <c r="H363" t="s">
        <v>30</v>
      </c>
      <c r="I363" t="s">
        <v>2010</v>
      </c>
      <c r="K363" t="s">
        <v>2011</v>
      </c>
      <c r="L363" t="s">
        <v>291</v>
      </c>
      <c r="M363" t="s">
        <v>2012</v>
      </c>
    </row>
    <row r="364" spans="1:13" x14ac:dyDescent="0.25">
      <c r="A364">
        <v>3044280</v>
      </c>
      <c r="B364" t="s">
        <v>2013</v>
      </c>
      <c r="C364" t="str">
        <f>"9783110135800"</f>
        <v>9783110135800</v>
      </c>
      <c r="D364" t="str">
        <f>"9783110869668"</f>
        <v>9783110869668</v>
      </c>
      <c r="E364" t="s">
        <v>270</v>
      </c>
      <c r="F364" s="1">
        <v>41402</v>
      </c>
      <c r="G364" t="s">
        <v>2014</v>
      </c>
      <c r="H364" t="s">
        <v>239</v>
      </c>
      <c r="I364" t="s">
        <v>2015</v>
      </c>
      <c r="J364">
        <v>349.43</v>
      </c>
      <c r="K364" t="s">
        <v>2016</v>
      </c>
      <c r="L364" t="s">
        <v>291</v>
      </c>
      <c r="M364" t="s">
        <v>2017</v>
      </c>
    </row>
    <row r="365" spans="1:13" x14ac:dyDescent="0.25">
      <c r="A365">
        <v>3044281</v>
      </c>
      <c r="B365" t="s">
        <v>2018</v>
      </c>
      <c r="C365" t="str">
        <f>"9783110113679"</f>
        <v>9783110113679</v>
      </c>
      <c r="D365" t="str">
        <f>"9783110892024"</f>
        <v>9783110892024</v>
      </c>
      <c r="E365" t="s">
        <v>270</v>
      </c>
      <c r="F365" s="1">
        <v>31959</v>
      </c>
      <c r="G365" t="s">
        <v>2019</v>
      </c>
      <c r="H365" t="s">
        <v>2020</v>
      </c>
      <c r="I365" t="s">
        <v>2021</v>
      </c>
      <c r="J365">
        <v>336</v>
      </c>
      <c r="K365" t="s">
        <v>2022</v>
      </c>
      <c r="L365" t="s">
        <v>291</v>
      </c>
      <c r="M365" t="s">
        <v>2023</v>
      </c>
    </row>
    <row r="366" spans="1:13" x14ac:dyDescent="0.25">
      <c r="A366">
        <v>3044288</v>
      </c>
      <c r="B366" t="s">
        <v>2024</v>
      </c>
      <c r="C366" t="str">
        <f>"9783110060072"</f>
        <v>9783110060072</v>
      </c>
      <c r="D366" t="str">
        <f>"9783110888249"</f>
        <v>9783110888249</v>
      </c>
      <c r="E366" t="s">
        <v>270</v>
      </c>
      <c r="F366" s="1">
        <v>41311</v>
      </c>
      <c r="G366" t="s">
        <v>2025</v>
      </c>
      <c r="H366" t="s">
        <v>2026</v>
      </c>
      <c r="I366" t="s">
        <v>2027</v>
      </c>
      <c r="J366">
        <v>242</v>
      </c>
      <c r="K366" t="s">
        <v>2028</v>
      </c>
      <c r="L366" t="s">
        <v>291</v>
      </c>
      <c r="M366" t="s">
        <v>2029</v>
      </c>
    </row>
    <row r="367" spans="1:13" x14ac:dyDescent="0.25">
      <c r="A367">
        <v>3044294</v>
      </c>
      <c r="B367" t="s">
        <v>2030</v>
      </c>
      <c r="C367" t="str">
        <f>"9783110083644"</f>
        <v>9783110083644</v>
      </c>
      <c r="D367" t="str">
        <f>"9783110873344"</f>
        <v>9783110873344</v>
      </c>
      <c r="E367" t="s">
        <v>270</v>
      </c>
      <c r="F367" s="1">
        <v>29342</v>
      </c>
      <c r="G367" t="s">
        <v>2031</v>
      </c>
      <c r="H367" t="s">
        <v>239</v>
      </c>
      <c r="I367" t="s">
        <v>2032</v>
      </c>
      <c r="K367" t="s">
        <v>2033</v>
      </c>
      <c r="L367" t="s">
        <v>291</v>
      </c>
      <c r="M367" t="s">
        <v>2034</v>
      </c>
    </row>
    <row r="368" spans="1:13" x14ac:dyDescent="0.25">
      <c r="A368">
        <v>3044295</v>
      </c>
      <c r="B368" t="s">
        <v>2035</v>
      </c>
      <c r="C368" t="str">
        <f>"9783110121797"</f>
        <v>9783110121797</v>
      </c>
      <c r="D368" t="str">
        <f>"9783110890877"</f>
        <v>9783110890877</v>
      </c>
      <c r="E368" t="s">
        <v>270</v>
      </c>
      <c r="F368" s="1">
        <v>41311</v>
      </c>
      <c r="G368" t="s">
        <v>2036</v>
      </c>
      <c r="H368" t="s">
        <v>999</v>
      </c>
      <c r="I368" t="s">
        <v>2037</v>
      </c>
      <c r="J368">
        <v>309</v>
      </c>
      <c r="K368" t="s">
        <v>2038</v>
      </c>
      <c r="L368" t="s">
        <v>291</v>
      </c>
      <c r="M368" t="s">
        <v>2039</v>
      </c>
    </row>
    <row r="369" spans="1:13" x14ac:dyDescent="0.25">
      <c r="A369">
        <v>3044302</v>
      </c>
      <c r="B369" t="s">
        <v>2040</v>
      </c>
      <c r="C369" t="str">
        <f>"9783110095555"</f>
        <v>9783110095555</v>
      </c>
      <c r="D369" t="str">
        <f>"9783110875171"</f>
        <v>9783110875171</v>
      </c>
      <c r="E369" t="s">
        <v>270</v>
      </c>
      <c r="F369" s="1">
        <v>30195</v>
      </c>
      <c r="G369" t="s">
        <v>2041</v>
      </c>
      <c r="H369" t="s">
        <v>239</v>
      </c>
      <c r="I369" t="s">
        <v>2042</v>
      </c>
      <c r="J369">
        <v>342</v>
      </c>
      <c r="K369" t="s">
        <v>2043</v>
      </c>
      <c r="L369" t="s">
        <v>291</v>
      </c>
      <c r="M369" t="s">
        <v>2044</v>
      </c>
    </row>
    <row r="370" spans="1:13" x14ac:dyDescent="0.25">
      <c r="A370">
        <v>3044317</v>
      </c>
      <c r="B370" t="s">
        <v>2045</v>
      </c>
      <c r="C370" t="str">
        <f>"9783110060089"</f>
        <v>9783110060089</v>
      </c>
      <c r="D370" t="str">
        <f>"9783110888256"</f>
        <v>9783110888256</v>
      </c>
      <c r="E370" t="s">
        <v>270</v>
      </c>
      <c r="F370" s="1">
        <v>27515</v>
      </c>
      <c r="G370" t="s">
        <v>2046</v>
      </c>
      <c r="H370" t="s">
        <v>2047</v>
      </c>
      <c r="I370" t="s">
        <v>2048</v>
      </c>
      <c r="J370">
        <v>170</v>
      </c>
      <c r="K370" t="s">
        <v>2049</v>
      </c>
      <c r="L370" t="s">
        <v>291</v>
      </c>
      <c r="M370" t="s">
        <v>2050</v>
      </c>
    </row>
    <row r="371" spans="1:13" x14ac:dyDescent="0.25">
      <c r="A371">
        <v>3044319</v>
      </c>
      <c r="B371" t="s">
        <v>2051</v>
      </c>
      <c r="C371" t="str">
        <f>"9783110171921"</f>
        <v>9783110171921</v>
      </c>
      <c r="D371" t="str">
        <f>"9783110879964"</f>
        <v>9783110879964</v>
      </c>
      <c r="E371" t="s">
        <v>270</v>
      </c>
      <c r="F371" s="1">
        <v>41323</v>
      </c>
      <c r="G371" t="s">
        <v>2052</v>
      </c>
      <c r="H371" t="s">
        <v>239</v>
      </c>
      <c r="I371" t="s">
        <v>2053</v>
      </c>
      <c r="K371" t="s">
        <v>2054</v>
      </c>
      <c r="L371" t="s">
        <v>291</v>
      </c>
      <c r="M371" t="s">
        <v>2055</v>
      </c>
    </row>
    <row r="372" spans="1:13" x14ac:dyDescent="0.25">
      <c r="A372">
        <v>3044327</v>
      </c>
      <c r="B372" t="s">
        <v>2056</v>
      </c>
      <c r="C372" t="str">
        <f>"9783110165869"</f>
        <v>9783110165869</v>
      </c>
      <c r="D372" t="str">
        <f>"9783110869996"</f>
        <v>9783110869996</v>
      </c>
      <c r="E372" t="s">
        <v>270</v>
      </c>
      <c r="F372" s="1">
        <v>41323</v>
      </c>
      <c r="G372" t="s">
        <v>2057</v>
      </c>
      <c r="H372" t="s">
        <v>239</v>
      </c>
      <c r="I372" t="s">
        <v>2058</v>
      </c>
      <c r="K372" t="s">
        <v>2059</v>
      </c>
      <c r="L372" t="s">
        <v>291</v>
      </c>
      <c r="M372" t="s">
        <v>2060</v>
      </c>
    </row>
    <row r="373" spans="1:13" x14ac:dyDescent="0.25">
      <c r="A373">
        <v>3044336</v>
      </c>
      <c r="B373" t="s">
        <v>2061</v>
      </c>
      <c r="C373" t="str">
        <f>"9783110042238"</f>
        <v>9783110042238</v>
      </c>
      <c r="D373" t="str">
        <f>"9783110890211"</f>
        <v>9783110890211</v>
      </c>
      <c r="E373" t="s">
        <v>270</v>
      </c>
      <c r="F373" s="1">
        <v>41323</v>
      </c>
      <c r="G373" t="s">
        <v>2062</v>
      </c>
      <c r="H373" t="s">
        <v>2063</v>
      </c>
      <c r="I373" t="s">
        <v>2064</v>
      </c>
      <c r="J373">
        <v>382</v>
      </c>
      <c r="K373" t="s">
        <v>2065</v>
      </c>
      <c r="L373" t="s">
        <v>291</v>
      </c>
      <c r="M373" t="s">
        <v>2066</v>
      </c>
    </row>
    <row r="374" spans="1:13" x14ac:dyDescent="0.25">
      <c r="A374">
        <v>3044347</v>
      </c>
      <c r="B374" t="s">
        <v>2067</v>
      </c>
      <c r="C374" t="str">
        <f>"9783110060096"</f>
        <v>9783110060096</v>
      </c>
      <c r="D374" t="str">
        <f>"9783110888263"</f>
        <v>9783110888263</v>
      </c>
      <c r="E374" t="s">
        <v>270</v>
      </c>
      <c r="F374" s="1">
        <v>41311</v>
      </c>
      <c r="G374" t="s">
        <v>2068</v>
      </c>
      <c r="H374" t="s">
        <v>2069</v>
      </c>
      <c r="I374" t="s">
        <v>2070</v>
      </c>
      <c r="J374">
        <v>216</v>
      </c>
      <c r="K374" t="s">
        <v>2071</v>
      </c>
      <c r="L374" t="s">
        <v>291</v>
      </c>
      <c r="M374" t="s">
        <v>2072</v>
      </c>
    </row>
    <row r="375" spans="1:13" x14ac:dyDescent="0.25">
      <c r="A375">
        <v>3044367</v>
      </c>
      <c r="B375" t="s">
        <v>2073</v>
      </c>
      <c r="C375" t="str">
        <f>"9783110060294"</f>
        <v>9783110060294</v>
      </c>
      <c r="D375" t="str">
        <f>"9783110882957"</f>
        <v>9783110882957</v>
      </c>
      <c r="E375" t="s">
        <v>270</v>
      </c>
      <c r="F375" s="1">
        <v>41323</v>
      </c>
      <c r="G375" t="s">
        <v>2074</v>
      </c>
      <c r="H375" t="s">
        <v>2026</v>
      </c>
      <c r="I375" t="s">
        <v>2075</v>
      </c>
      <c r="J375">
        <v>295</v>
      </c>
      <c r="K375" t="s">
        <v>2076</v>
      </c>
      <c r="L375" t="s">
        <v>291</v>
      </c>
      <c r="M375" t="s">
        <v>2077</v>
      </c>
    </row>
    <row r="376" spans="1:13" x14ac:dyDescent="0.25">
      <c r="A376">
        <v>3044379</v>
      </c>
      <c r="B376" t="s">
        <v>2078</v>
      </c>
      <c r="C376" t="str">
        <f>"9783110060249"</f>
        <v>9783110060249</v>
      </c>
      <c r="D376" t="str">
        <f>"9783110874907"</f>
        <v>9783110874907</v>
      </c>
      <c r="E376" t="s">
        <v>270</v>
      </c>
      <c r="F376" s="1">
        <v>41311</v>
      </c>
      <c r="G376" t="s">
        <v>2079</v>
      </c>
      <c r="H376" t="s">
        <v>2069</v>
      </c>
      <c r="I376" t="s">
        <v>2080</v>
      </c>
      <c r="J376">
        <v>283</v>
      </c>
      <c r="K376" t="s">
        <v>2081</v>
      </c>
      <c r="L376" t="s">
        <v>291</v>
      </c>
      <c r="M376" t="s">
        <v>2082</v>
      </c>
    </row>
    <row r="377" spans="1:13" x14ac:dyDescent="0.25">
      <c r="A377">
        <v>3044384</v>
      </c>
      <c r="B377" t="s">
        <v>2083</v>
      </c>
      <c r="C377" t="str">
        <f>"9783110036848"</f>
        <v>9783110036848</v>
      </c>
      <c r="D377" t="str">
        <f>"9783110892314"</f>
        <v>9783110892314</v>
      </c>
      <c r="E377" t="s">
        <v>270</v>
      </c>
      <c r="F377" s="1">
        <v>41323</v>
      </c>
      <c r="G377" t="s">
        <v>2084</v>
      </c>
      <c r="H377" t="s">
        <v>239</v>
      </c>
      <c r="I377" t="s">
        <v>2085</v>
      </c>
      <c r="J377">
        <v>342</v>
      </c>
      <c r="K377" t="s">
        <v>2086</v>
      </c>
      <c r="L377" t="s">
        <v>291</v>
      </c>
      <c r="M377" t="s">
        <v>2087</v>
      </c>
    </row>
    <row r="378" spans="1:13" x14ac:dyDescent="0.25">
      <c r="A378">
        <v>3044409</v>
      </c>
      <c r="B378" t="s">
        <v>2088</v>
      </c>
      <c r="C378" t="str">
        <f>"9783110060256"</f>
        <v>9783110060256</v>
      </c>
      <c r="D378" t="str">
        <f>"9783110874914"</f>
        <v>9783110874914</v>
      </c>
      <c r="E378" t="s">
        <v>270</v>
      </c>
      <c r="F378" s="1">
        <v>41323</v>
      </c>
      <c r="G378" t="s">
        <v>2089</v>
      </c>
      <c r="H378" t="s">
        <v>239</v>
      </c>
      <c r="I378" t="s">
        <v>2090</v>
      </c>
      <c r="K378" t="s">
        <v>2091</v>
      </c>
      <c r="L378" t="s">
        <v>291</v>
      </c>
      <c r="M378" t="s">
        <v>2092</v>
      </c>
    </row>
    <row r="379" spans="1:13" x14ac:dyDescent="0.25">
      <c r="A379">
        <v>3044427</v>
      </c>
      <c r="B379" t="s">
        <v>2093</v>
      </c>
      <c r="C379" t="str">
        <f>"9783110060225"</f>
        <v>9783110060225</v>
      </c>
      <c r="D379" t="str">
        <f>"9783110875119"</f>
        <v>9783110875119</v>
      </c>
      <c r="E379" t="s">
        <v>270</v>
      </c>
      <c r="F379" s="1">
        <v>24016</v>
      </c>
      <c r="G379" t="s">
        <v>2094</v>
      </c>
      <c r="H379" t="s">
        <v>239</v>
      </c>
      <c r="I379" t="s">
        <v>2095</v>
      </c>
      <c r="K379" t="s">
        <v>2096</v>
      </c>
      <c r="L379" t="s">
        <v>291</v>
      </c>
      <c r="M379" t="s">
        <v>2097</v>
      </c>
    </row>
    <row r="380" spans="1:13" x14ac:dyDescent="0.25">
      <c r="A380">
        <v>3044432</v>
      </c>
      <c r="B380" t="s">
        <v>2098</v>
      </c>
      <c r="C380" t="str">
        <f>"9783110156201"</f>
        <v>9783110156201</v>
      </c>
      <c r="D380" t="str">
        <f>"9783110890501"</f>
        <v>9783110890501</v>
      </c>
      <c r="E380" t="s">
        <v>270</v>
      </c>
      <c r="F380" s="1">
        <v>35522</v>
      </c>
      <c r="G380" t="s">
        <v>2099</v>
      </c>
      <c r="H380" t="s">
        <v>239</v>
      </c>
      <c r="I380" t="s">
        <v>2100</v>
      </c>
      <c r="J380" t="s">
        <v>2101</v>
      </c>
      <c r="K380" t="s">
        <v>2102</v>
      </c>
      <c r="L380" t="s">
        <v>291</v>
      </c>
      <c r="M380" t="s">
        <v>2103</v>
      </c>
    </row>
    <row r="381" spans="1:13" x14ac:dyDescent="0.25">
      <c r="A381">
        <v>3045864</v>
      </c>
      <c r="B381" t="s">
        <v>2104</v>
      </c>
      <c r="C381" t="str">
        <f>"9783486564808"</f>
        <v>9783486564808</v>
      </c>
      <c r="D381" t="str">
        <f>"9783486718324"</f>
        <v>9783486718324</v>
      </c>
      <c r="E381" t="s">
        <v>350</v>
      </c>
      <c r="F381" s="1">
        <v>36741</v>
      </c>
      <c r="G381" t="s">
        <v>2105</v>
      </c>
      <c r="H381" t="s">
        <v>495</v>
      </c>
      <c r="I381" t="s">
        <v>2106</v>
      </c>
      <c r="J381">
        <v>327.43009045000002</v>
      </c>
      <c r="K381" t="s">
        <v>2107</v>
      </c>
      <c r="L381" t="s">
        <v>291</v>
      </c>
      <c r="M381" t="s">
        <v>2108</v>
      </c>
    </row>
    <row r="382" spans="1:13" x14ac:dyDescent="0.25">
      <c r="A382">
        <v>3045867</v>
      </c>
      <c r="B382" t="s">
        <v>2109</v>
      </c>
      <c r="C382" t="str">
        <f>"9783486564181"</f>
        <v>9783486564181</v>
      </c>
      <c r="D382" t="str">
        <f>"9783486718331"</f>
        <v>9783486718331</v>
      </c>
      <c r="E382" t="s">
        <v>350</v>
      </c>
      <c r="F382" s="1">
        <v>36488</v>
      </c>
      <c r="G382" t="s">
        <v>2110</v>
      </c>
      <c r="H382" t="s">
        <v>495</v>
      </c>
      <c r="I382" t="s">
        <v>2111</v>
      </c>
      <c r="J382">
        <v>327.43009045000002</v>
      </c>
      <c r="K382" t="s">
        <v>2107</v>
      </c>
      <c r="L382" t="s">
        <v>291</v>
      </c>
      <c r="M382" t="s">
        <v>2112</v>
      </c>
    </row>
    <row r="383" spans="1:13" x14ac:dyDescent="0.25">
      <c r="A383">
        <v>3045869</v>
      </c>
      <c r="B383" t="s">
        <v>2113</v>
      </c>
      <c r="C383" t="str">
        <f>"9783486564983"</f>
        <v>9783486564983</v>
      </c>
      <c r="D383" t="str">
        <f>"9783486718171"</f>
        <v>9783486718171</v>
      </c>
      <c r="E383" t="s">
        <v>350</v>
      </c>
      <c r="F383" s="1">
        <v>36866</v>
      </c>
      <c r="G383" t="s">
        <v>2114</v>
      </c>
      <c r="H383" t="s">
        <v>495</v>
      </c>
      <c r="I383" t="s">
        <v>2115</v>
      </c>
      <c r="J383">
        <v>327.43009045000002</v>
      </c>
      <c r="K383" t="s">
        <v>2116</v>
      </c>
      <c r="L383" t="s">
        <v>291</v>
      </c>
      <c r="M383" t="s">
        <v>2117</v>
      </c>
    </row>
    <row r="384" spans="1:13" x14ac:dyDescent="0.25">
      <c r="A384">
        <v>3045875</v>
      </c>
      <c r="B384" t="s">
        <v>2118</v>
      </c>
      <c r="C384" t="str">
        <f>"9783486563221"</f>
        <v>9783486563221</v>
      </c>
      <c r="D384" t="str">
        <f>"9783486718201"</f>
        <v>9783486718201</v>
      </c>
      <c r="E384" t="s">
        <v>350</v>
      </c>
      <c r="F384" s="1">
        <v>35893</v>
      </c>
      <c r="G384" t="s">
        <v>2119</v>
      </c>
      <c r="H384" t="s">
        <v>146</v>
      </c>
      <c r="I384" t="s">
        <v>2120</v>
      </c>
      <c r="J384">
        <v>327.43009045000002</v>
      </c>
      <c r="K384" t="s">
        <v>2121</v>
      </c>
      <c r="L384" t="s">
        <v>291</v>
      </c>
      <c r="M384" t="s">
        <v>2122</v>
      </c>
    </row>
    <row r="385" spans="1:13" x14ac:dyDescent="0.25">
      <c r="A385">
        <v>3045878</v>
      </c>
      <c r="B385" t="s">
        <v>2123</v>
      </c>
      <c r="C385" t="str">
        <f>"9783486563085"</f>
        <v>9783486563085</v>
      </c>
      <c r="D385" t="str">
        <f>"9783486718348"</f>
        <v>9783486718348</v>
      </c>
      <c r="E385" t="s">
        <v>350</v>
      </c>
      <c r="F385" s="1">
        <v>35739</v>
      </c>
      <c r="G385" t="s">
        <v>2124</v>
      </c>
      <c r="H385" t="s">
        <v>495</v>
      </c>
      <c r="I385" t="s">
        <v>2125</v>
      </c>
      <c r="J385">
        <v>327.43009045000002</v>
      </c>
      <c r="K385" t="s">
        <v>2116</v>
      </c>
      <c r="L385" t="s">
        <v>291</v>
      </c>
      <c r="M385" t="s">
        <v>2126</v>
      </c>
    </row>
    <row r="386" spans="1:13" x14ac:dyDescent="0.25">
      <c r="A386">
        <v>3045883</v>
      </c>
      <c r="B386" t="s">
        <v>2127</v>
      </c>
      <c r="C386" t="str">
        <f>"9783486564792"</f>
        <v>9783486564792</v>
      </c>
      <c r="D386" t="str">
        <f>"9783486718188"</f>
        <v>9783486718188</v>
      </c>
      <c r="E386" t="s">
        <v>350</v>
      </c>
      <c r="F386" s="1">
        <v>36537</v>
      </c>
      <c r="G386" t="s">
        <v>2128</v>
      </c>
      <c r="H386" t="s">
        <v>495</v>
      </c>
      <c r="I386" t="s">
        <v>2106</v>
      </c>
      <c r="J386">
        <v>327.43</v>
      </c>
      <c r="K386" t="s">
        <v>2129</v>
      </c>
      <c r="L386" t="s">
        <v>291</v>
      </c>
      <c r="M386" t="s">
        <v>2130</v>
      </c>
    </row>
    <row r="387" spans="1:13" x14ac:dyDescent="0.25">
      <c r="A387">
        <v>3045886</v>
      </c>
      <c r="B387" t="s">
        <v>2131</v>
      </c>
      <c r="C387" t="str">
        <f>"9783486564112"</f>
        <v>9783486564112</v>
      </c>
      <c r="D387" t="str">
        <f>"9783486718195"</f>
        <v>9783486718195</v>
      </c>
      <c r="E387" t="s">
        <v>350</v>
      </c>
      <c r="F387" s="1">
        <v>36173</v>
      </c>
      <c r="G387" t="s">
        <v>2132</v>
      </c>
      <c r="H387" t="s">
        <v>146</v>
      </c>
      <c r="I387" t="s">
        <v>2133</v>
      </c>
      <c r="J387">
        <v>327.43009045000002</v>
      </c>
      <c r="K387" t="s">
        <v>2134</v>
      </c>
      <c r="L387" t="s">
        <v>291</v>
      </c>
      <c r="M387" t="s">
        <v>2135</v>
      </c>
    </row>
    <row r="388" spans="1:13" x14ac:dyDescent="0.25">
      <c r="A388">
        <v>3045889</v>
      </c>
      <c r="B388" t="s">
        <v>2136</v>
      </c>
      <c r="C388" t="str">
        <f>"9783486561555"</f>
        <v>9783486561555</v>
      </c>
      <c r="D388" t="str">
        <f>"9783486718218"</f>
        <v>9783486718218</v>
      </c>
      <c r="E388" t="s">
        <v>350</v>
      </c>
      <c r="F388" s="1">
        <v>35459</v>
      </c>
      <c r="G388" t="s">
        <v>2137</v>
      </c>
      <c r="H388" t="s">
        <v>146</v>
      </c>
      <c r="I388" t="s">
        <v>2125</v>
      </c>
      <c r="J388">
        <v>327.43009045000002</v>
      </c>
      <c r="K388" t="s">
        <v>2138</v>
      </c>
      <c r="L388" t="s">
        <v>291</v>
      </c>
      <c r="M388" t="s">
        <v>2139</v>
      </c>
    </row>
    <row r="389" spans="1:13" x14ac:dyDescent="0.25">
      <c r="A389">
        <v>3045894</v>
      </c>
      <c r="B389" t="s">
        <v>2140</v>
      </c>
      <c r="C389" t="str">
        <f>"9783486560718"</f>
        <v>9783486560718</v>
      </c>
      <c r="D389" t="str">
        <f>"9783486718225"</f>
        <v>9783486718225</v>
      </c>
      <c r="E389" t="s">
        <v>350</v>
      </c>
      <c r="F389" s="1">
        <v>35102</v>
      </c>
      <c r="G389" t="s">
        <v>2141</v>
      </c>
      <c r="H389" t="s">
        <v>495</v>
      </c>
      <c r="I389" t="s">
        <v>2142</v>
      </c>
      <c r="J389">
        <v>327.43009045000002</v>
      </c>
      <c r="K389" t="s">
        <v>2143</v>
      </c>
      <c r="L389" t="s">
        <v>291</v>
      </c>
      <c r="M389" t="s">
        <v>2144</v>
      </c>
    </row>
    <row r="390" spans="1:13" x14ac:dyDescent="0.25">
      <c r="A390">
        <v>3045898</v>
      </c>
      <c r="B390" t="s">
        <v>2145</v>
      </c>
      <c r="C390" t="str">
        <f>"9783486559644"</f>
        <v>9783486559644</v>
      </c>
      <c r="D390" t="str">
        <f>"9783486718294"</f>
        <v>9783486718294</v>
      </c>
      <c r="E390" t="s">
        <v>350</v>
      </c>
      <c r="F390" s="1">
        <v>34234</v>
      </c>
      <c r="G390" t="s">
        <v>2141</v>
      </c>
      <c r="H390" t="s">
        <v>146</v>
      </c>
      <c r="I390" t="s">
        <v>2146</v>
      </c>
      <c r="J390">
        <v>327.43009045000002</v>
      </c>
      <c r="K390" t="s">
        <v>2147</v>
      </c>
      <c r="L390" t="s">
        <v>291</v>
      </c>
      <c r="M390" t="s">
        <v>2148</v>
      </c>
    </row>
    <row r="391" spans="1:13" x14ac:dyDescent="0.25">
      <c r="A391">
        <v>3045903</v>
      </c>
      <c r="B391" t="s">
        <v>2149</v>
      </c>
      <c r="C391" t="str">
        <f>"9783486565607"</f>
        <v>9783486565607</v>
      </c>
      <c r="D391" t="str">
        <f>"9783486718317"</f>
        <v>9783486718317</v>
      </c>
      <c r="E391" t="s">
        <v>350</v>
      </c>
      <c r="F391" s="1">
        <v>37230</v>
      </c>
      <c r="G391" t="s">
        <v>2150</v>
      </c>
      <c r="H391" t="s">
        <v>146</v>
      </c>
      <c r="I391" t="s">
        <v>2115</v>
      </c>
      <c r="J391">
        <v>327.43009045000002</v>
      </c>
      <c r="K391" t="s">
        <v>2116</v>
      </c>
      <c r="L391" t="s">
        <v>291</v>
      </c>
      <c r="M391" t="s">
        <v>2151</v>
      </c>
    </row>
    <row r="392" spans="1:13" x14ac:dyDescent="0.25">
      <c r="A392">
        <v>3045986</v>
      </c>
      <c r="B392" t="s">
        <v>2152</v>
      </c>
      <c r="C392" t="str">
        <f>"9783486583281"</f>
        <v>9783486583281</v>
      </c>
      <c r="D392" t="str">
        <f>"9783486707526"</f>
        <v>9783486707526</v>
      </c>
      <c r="E392" t="s">
        <v>350</v>
      </c>
      <c r="F392" s="1">
        <v>39405</v>
      </c>
      <c r="G392" t="s">
        <v>2153</v>
      </c>
      <c r="H392" t="s">
        <v>139</v>
      </c>
      <c r="I392" t="s">
        <v>2154</v>
      </c>
      <c r="K392" t="s">
        <v>2155</v>
      </c>
      <c r="L392" t="s">
        <v>291</v>
      </c>
      <c r="M392" t="s">
        <v>2156</v>
      </c>
    </row>
    <row r="393" spans="1:13" x14ac:dyDescent="0.25">
      <c r="A393">
        <v>3046018</v>
      </c>
      <c r="B393" t="s">
        <v>2157</v>
      </c>
      <c r="C393" t="str">
        <f>"9783486580389"</f>
        <v>9783486580389</v>
      </c>
      <c r="D393" t="str">
        <f>"9783486707632"</f>
        <v>9783486707632</v>
      </c>
      <c r="E393" t="s">
        <v>350</v>
      </c>
      <c r="F393" s="1">
        <v>39132</v>
      </c>
      <c r="G393" t="s">
        <v>2158</v>
      </c>
      <c r="H393" t="s">
        <v>1753</v>
      </c>
      <c r="I393" t="s">
        <v>2159</v>
      </c>
      <c r="K393" t="s">
        <v>2160</v>
      </c>
      <c r="L393" t="s">
        <v>291</v>
      </c>
      <c r="M393" t="s">
        <v>2161</v>
      </c>
    </row>
    <row r="394" spans="1:13" x14ac:dyDescent="0.25">
      <c r="A394">
        <v>3048823</v>
      </c>
      <c r="B394" t="s">
        <v>2162</v>
      </c>
      <c r="C394" t="str">
        <f>"9783486579819"</f>
        <v>9783486579819</v>
      </c>
      <c r="D394" t="str">
        <f>"9783486840148"</f>
        <v>9783486840148</v>
      </c>
      <c r="E394" t="s">
        <v>350</v>
      </c>
      <c r="F394" s="1">
        <v>38945</v>
      </c>
      <c r="G394" t="s">
        <v>2163</v>
      </c>
      <c r="H394" t="s">
        <v>139</v>
      </c>
      <c r="I394" t="s">
        <v>2164</v>
      </c>
      <c r="J394">
        <v>944.38250000000005</v>
      </c>
      <c r="K394" t="s">
        <v>2165</v>
      </c>
      <c r="L394" t="s">
        <v>291</v>
      </c>
      <c r="M394" t="s">
        <v>2166</v>
      </c>
    </row>
    <row r="395" spans="1:13" x14ac:dyDescent="0.25">
      <c r="A395">
        <v>3048837</v>
      </c>
      <c r="B395" t="s">
        <v>2167</v>
      </c>
      <c r="C395" t="str">
        <f>"9783486591354"</f>
        <v>9783486591354</v>
      </c>
      <c r="D395" t="str">
        <f>"9783486851502"</f>
        <v>9783486851502</v>
      </c>
      <c r="E395" t="s">
        <v>350</v>
      </c>
      <c r="F395" s="1">
        <v>40107</v>
      </c>
      <c r="G395" t="s">
        <v>2168</v>
      </c>
      <c r="H395" t="s">
        <v>139</v>
      </c>
      <c r="I395" t="s">
        <v>2169</v>
      </c>
      <c r="J395">
        <v>944</v>
      </c>
      <c r="K395" t="s">
        <v>2170</v>
      </c>
      <c r="L395" t="s">
        <v>291</v>
      </c>
      <c r="M395" t="s">
        <v>2171</v>
      </c>
    </row>
    <row r="396" spans="1:13" x14ac:dyDescent="0.25">
      <c r="A396">
        <v>3048851</v>
      </c>
      <c r="B396" t="s">
        <v>2172</v>
      </c>
      <c r="C396" t="str">
        <f>"9783486582949"</f>
        <v>9783486582949</v>
      </c>
      <c r="D396" t="str">
        <f>"9783486843583"</f>
        <v>9783486843583</v>
      </c>
      <c r="E396" t="s">
        <v>350</v>
      </c>
      <c r="F396" s="1">
        <v>39524</v>
      </c>
      <c r="G396" t="s">
        <v>2173</v>
      </c>
      <c r="H396" t="s">
        <v>139</v>
      </c>
      <c r="I396" t="s">
        <v>2174</v>
      </c>
      <c r="J396">
        <v>943.55106000000001</v>
      </c>
      <c r="K396" t="s">
        <v>2175</v>
      </c>
      <c r="L396" t="s">
        <v>291</v>
      </c>
      <c r="M396" t="s">
        <v>2176</v>
      </c>
    </row>
    <row r="397" spans="1:13" x14ac:dyDescent="0.25">
      <c r="A397">
        <v>3048865</v>
      </c>
      <c r="B397" t="s">
        <v>2177</v>
      </c>
      <c r="C397" t="str">
        <f>"9783486580273"</f>
        <v>9783486580273</v>
      </c>
      <c r="D397" t="str">
        <f>"9783486840568"</f>
        <v>9783486840568</v>
      </c>
      <c r="E397" t="s">
        <v>350</v>
      </c>
      <c r="F397" s="1">
        <v>39636</v>
      </c>
      <c r="G397" t="s">
        <v>2178</v>
      </c>
      <c r="H397" t="s">
        <v>780</v>
      </c>
      <c r="I397" t="s">
        <v>2179</v>
      </c>
      <c r="J397">
        <v>303.48244080904101</v>
      </c>
      <c r="K397" t="s">
        <v>2180</v>
      </c>
      <c r="L397" t="s">
        <v>291</v>
      </c>
      <c r="M397" t="s">
        <v>2181</v>
      </c>
    </row>
    <row r="398" spans="1:13" x14ac:dyDescent="0.25">
      <c r="A398">
        <v>3048892</v>
      </c>
      <c r="B398" t="s">
        <v>2182</v>
      </c>
      <c r="C398" t="str">
        <f>"9783486580280"</f>
        <v>9783486580280</v>
      </c>
      <c r="D398" t="str">
        <f>"9783486840582"</f>
        <v>9783486840582</v>
      </c>
      <c r="E398" t="s">
        <v>350</v>
      </c>
      <c r="F398" s="1">
        <v>39090</v>
      </c>
      <c r="G398" t="s">
        <v>2183</v>
      </c>
      <c r="H398" t="s">
        <v>139</v>
      </c>
      <c r="I398" t="s">
        <v>2184</v>
      </c>
      <c r="J398">
        <v>944.02809200000002</v>
      </c>
      <c r="K398" t="s">
        <v>2185</v>
      </c>
      <c r="L398" t="s">
        <v>291</v>
      </c>
      <c r="M398" t="s">
        <v>2186</v>
      </c>
    </row>
    <row r="399" spans="1:13" x14ac:dyDescent="0.25">
      <c r="A399">
        <v>3048902</v>
      </c>
      <c r="B399" t="s">
        <v>2187</v>
      </c>
      <c r="C399" t="str">
        <f>"9783486587951"</f>
        <v>9783486587951</v>
      </c>
      <c r="D399" t="str">
        <f>"9783486848403"</f>
        <v>9783486848403</v>
      </c>
      <c r="E399" t="s">
        <v>350</v>
      </c>
      <c r="F399" s="1">
        <v>39727</v>
      </c>
      <c r="G399" t="s">
        <v>2188</v>
      </c>
      <c r="H399" t="s">
        <v>139</v>
      </c>
      <c r="I399" t="s">
        <v>2189</v>
      </c>
      <c r="J399">
        <v>943.00712429999999</v>
      </c>
      <c r="K399" t="s">
        <v>2190</v>
      </c>
      <c r="L399" t="s">
        <v>291</v>
      </c>
      <c r="M399" t="s">
        <v>2191</v>
      </c>
    </row>
    <row r="400" spans="1:13" x14ac:dyDescent="0.25">
      <c r="A400">
        <v>3049193</v>
      </c>
      <c r="B400" t="s">
        <v>2192</v>
      </c>
      <c r="C400" t="str">
        <f>"9783486565881"</f>
        <v>9783486565881</v>
      </c>
      <c r="D400" t="str">
        <f>"9783486832846"</f>
        <v>9783486832846</v>
      </c>
      <c r="E400" t="s">
        <v>350</v>
      </c>
      <c r="F400" s="1">
        <v>37326</v>
      </c>
      <c r="G400" t="s">
        <v>2193</v>
      </c>
      <c r="H400" t="s">
        <v>139</v>
      </c>
      <c r="I400" t="s">
        <v>2194</v>
      </c>
      <c r="J400">
        <v>944.04</v>
      </c>
      <c r="K400" t="s">
        <v>2195</v>
      </c>
      <c r="L400" t="s">
        <v>291</v>
      </c>
      <c r="M400" t="s">
        <v>2196</v>
      </c>
    </row>
    <row r="401" spans="1:13" x14ac:dyDescent="0.25">
      <c r="A401">
        <v>3049195</v>
      </c>
      <c r="B401" t="s">
        <v>2197</v>
      </c>
      <c r="C401" t="str">
        <f>"9783486575798"</f>
        <v>9783486575798</v>
      </c>
      <c r="D401" t="str">
        <f>"9783486835847"</f>
        <v>9783486835847</v>
      </c>
      <c r="E401" t="s">
        <v>350</v>
      </c>
      <c r="F401" s="1">
        <v>38693</v>
      </c>
      <c r="G401" t="s">
        <v>2198</v>
      </c>
      <c r="H401" t="s">
        <v>806</v>
      </c>
      <c r="I401" t="s">
        <v>2199</v>
      </c>
      <c r="J401">
        <v>720.10299999999995</v>
      </c>
      <c r="K401" t="s">
        <v>2200</v>
      </c>
      <c r="L401" t="s">
        <v>291</v>
      </c>
      <c r="M401" t="s">
        <v>2201</v>
      </c>
    </row>
    <row r="402" spans="1:13" x14ac:dyDescent="0.25">
      <c r="A402">
        <v>3049223</v>
      </c>
      <c r="B402" t="s">
        <v>2202</v>
      </c>
      <c r="C402" t="str">
        <f>"9783486567397"</f>
        <v>9783486567397</v>
      </c>
      <c r="D402" t="str">
        <f>"9783486834185"</f>
        <v>9783486834185</v>
      </c>
      <c r="E402" t="s">
        <v>350</v>
      </c>
      <c r="F402" s="1">
        <v>37832</v>
      </c>
      <c r="G402" t="s">
        <v>2203</v>
      </c>
      <c r="H402" t="s">
        <v>246</v>
      </c>
      <c r="I402" t="s">
        <v>2204</v>
      </c>
      <c r="J402">
        <v>791.43094399999995</v>
      </c>
      <c r="K402" t="s">
        <v>2205</v>
      </c>
      <c r="L402" t="s">
        <v>291</v>
      </c>
      <c r="M402" t="s">
        <v>2206</v>
      </c>
    </row>
    <row r="403" spans="1:13" x14ac:dyDescent="0.25">
      <c r="A403">
        <v>3049226</v>
      </c>
      <c r="B403" t="s">
        <v>2207</v>
      </c>
      <c r="C403" t="str">
        <f>"9783486576719"</f>
        <v>9783486576719</v>
      </c>
      <c r="D403" t="str">
        <f>"9783486836721"</f>
        <v>9783486836721</v>
      </c>
      <c r="E403" t="s">
        <v>350</v>
      </c>
      <c r="F403" s="1">
        <v>38784</v>
      </c>
      <c r="G403" t="s">
        <v>2208</v>
      </c>
      <c r="H403" t="s">
        <v>30</v>
      </c>
      <c r="I403" t="s">
        <v>2209</v>
      </c>
      <c r="J403">
        <v>320.10000000000002</v>
      </c>
      <c r="K403" t="s">
        <v>2210</v>
      </c>
      <c r="L403" t="s">
        <v>291</v>
      </c>
      <c r="M403" t="s">
        <v>2211</v>
      </c>
    </row>
    <row r="404" spans="1:13" x14ac:dyDescent="0.25">
      <c r="A404">
        <v>3049258</v>
      </c>
      <c r="B404" t="s">
        <v>2212</v>
      </c>
      <c r="C404" t="str">
        <f>"9783486568448"</f>
        <v>9783486568448</v>
      </c>
      <c r="D404" t="str">
        <f>"9783486835588"</f>
        <v>9783486835588</v>
      </c>
      <c r="E404" t="s">
        <v>350</v>
      </c>
      <c r="F404" s="1">
        <v>38217</v>
      </c>
      <c r="G404" t="s">
        <v>2213</v>
      </c>
      <c r="H404" t="s">
        <v>495</v>
      </c>
      <c r="I404" t="s">
        <v>2214</v>
      </c>
      <c r="J404" t="s">
        <v>2215</v>
      </c>
      <c r="K404" t="s">
        <v>2216</v>
      </c>
      <c r="L404" t="s">
        <v>291</v>
      </c>
      <c r="M404" t="s">
        <v>2217</v>
      </c>
    </row>
    <row r="405" spans="1:13" x14ac:dyDescent="0.25">
      <c r="A405">
        <v>3049276</v>
      </c>
      <c r="B405" t="s">
        <v>2218</v>
      </c>
      <c r="C405" t="str">
        <f>"9783486566888"</f>
        <v>9783486566888</v>
      </c>
      <c r="D405" t="str">
        <f>"9783486833669"</f>
        <v>9783486833669</v>
      </c>
      <c r="E405" t="s">
        <v>350</v>
      </c>
      <c r="F405" s="1">
        <v>37769</v>
      </c>
      <c r="G405" t="s">
        <v>2219</v>
      </c>
      <c r="H405" t="s">
        <v>999</v>
      </c>
      <c r="I405" t="s">
        <v>2220</v>
      </c>
      <c r="J405">
        <v>346.44051999999999</v>
      </c>
      <c r="K405" t="s">
        <v>2221</v>
      </c>
      <c r="L405" t="s">
        <v>291</v>
      </c>
      <c r="M405" t="s">
        <v>2222</v>
      </c>
    </row>
    <row r="406" spans="1:13" x14ac:dyDescent="0.25">
      <c r="A406">
        <v>3110448</v>
      </c>
      <c r="B406" t="s">
        <v>2223</v>
      </c>
      <c r="C406" t="str">
        <f>"9781936235247"</f>
        <v>9781936235247</v>
      </c>
      <c r="D406" t="str">
        <f>"9781618110602"</f>
        <v>9781618110602</v>
      </c>
      <c r="E406" t="s">
        <v>2224</v>
      </c>
      <c r="F406" s="1">
        <v>40634</v>
      </c>
      <c r="G406" t="s">
        <v>2225</v>
      </c>
      <c r="H406" t="s">
        <v>310</v>
      </c>
      <c r="I406" t="s">
        <v>2226</v>
      </c>
      <c r="J406" t="s">
        <v>2227</v>
      </c>
      <c r="K406" t="s">
        <v>2228</v>
      </c>
      <c r="L406" t="s">
        <v>20</v>
      </c>
      <c r="M406" t="s">
        <v>2229</v>
      </c>
    </row>
    <row r="407" spans="1:13" x14ac:dyDescent="0.25">
      <c r="A407">
        <v>3110477</v>
      </c>
      <c r="B407" t="s">
        <v>2230</v>
      </c>
      <c r="C407" t="str">
        <f>"9781934843482"</f>
        <v>9781934843482</v>
      </c>
      <c r="D407" t="str">
        <f>"9781618111135"</f>
        <v>9781618111135</v>
      </c>
      <c r="E407" t="s">
        <v>2224</v>
      </c>
      <c r="F407" s="1">
        <v>40664</v>
      </c>
      <c r="G407" t="s">
        <v>2231</v>
      </c>
      <c r="H407" t="s">
        <v>1957</v>
      </c>
      <c r="I407" t="s">
        <v>2232</v>
      </c>
      <c r="J407" t="s">
        <v>2233</v>
      </c>
      <c r="K407" t="s">
        <v>2234</v>
      </c>
      <c r="L407" t="s">
        <v>20</v>
      </c>
      <c r="M407" t="s">
        <v>2235</v>
      </c>
    </row>
    <row r="408" spans="1:13" x14ac:dyDescent="0.25">
      <c r="A408">
        <v>3119958</v>
      </c>
      <c r="B408" t="s">
        <v>2236</v>
      </c>
      <c r="C408" t="str">
        <f>"9781780401089"</f>
        <v>9781780401089</v>
      </c>
      <c r="D408" t="str">
        <f>"9781780401096"</f>
        <v>9781780401096</v>
      </c>
      <c r="E408" t="s">
        <v>2237</v>
      </c>
      <c r="F408" s="1">
        <v>41135</v>
      </c>
      <c r="G408" t="s">
        <v>2238</v>
      </c>
      <c r="H408" t="s">
        <v>2239</v>
      </c>
      <c r="I408" t="s">
        <v>2240</v>
      </c>
      <c r="J408">
        <v>628.16099999999994</v>
      </c>
      <c r="K408" t="s">
        <v>2241</v>
      </c>
      <c r="L408" t="s">
        <v>20</v>
      </c>
      <c r="M408" t="s">
        <v>2242</v>
      </c>
    </row>
    <row r="409" spans="1:13" x14ac:dyDescent="0.25">
      <c r="A409">
        <v>3120913</v>
      </c>
      <c r="B409" t="s">
        <v>2243</v>
      </c>
      <c r="C409" t="str">
        <f>"9781900222099"</f>
        <v>9781900222099</v>
      </c>
      <c r="D409" t="str">
        <f>"9781780403038"</f>
        <v>9781780403038</v>
      </c>
      <c r="E409" t="s">
        <v>2237</v>
      </c>
      <c r="F409" s="1">
        <v>36526</v>
      </c>
      <c r="G409" t="s">
        <v>2244</v>
      </c>
      <c r="H409" t="s">
        <v>2245</v>
      </c>
      <c r="I409" t="s">
        <v>2246</v>
      </c>
      <c r="J409" t="s">
        <v>2247</v>
      </c>
      <c r="K409" t="s">
        <v>2248</v>
      </c>
      <c r="L409" t="s">
        <v>20</v>
      </c>
      <c r="M409" t="s">
        <v>2249</v>
      </c>
    </row>
    <row r="410" spans="1:13" x14ac:dyDescent="0.25">
      <c r="A410">
        <v>3121230</v>
      </c>
      <c r="B410" t="s">
        <v>2250</v>
      </c>
      <c r="C410" t="str">
        <f>"9781780400440"</f>
        <v>9781780400440</v>
      </c>
      <c r="D410" t="str">
        <f>"9781780400457"</f>
        <v>9781780400457</v>
      </c>
      <c r="E410" t="s">
        <v>2237</v>
      </c>
      <c r="F410" s="1">
        <v>41865</v>
      </c>
      <c r="G410" t="s">
        <v>2251</v>
      </c>
      <c r="H410" t="s">
        <v>2252</v>
      </c>
      <c r="I410" t="s">
        <v>2253</v>
      </c>
      <c r="J410">
        <v>627.01517999999999</v>
      </c>
      <c r="K410" t="s">
        <v>2254</v>
      </c>
      <c r="L410" t="s">
        <v>20</v>
      </c>
      <c r="M410" t="s">
        <v>2255</v>
      </c>
    </row>
    <row r="411" spans="1:13" x14ac:dyDescent="0.25">
      <c r="A411">
        <v>3121255</v>
      </c>
      <c r="B411" t="s">
        <v>2256</v>
      </c>
      <c r="C411" t="str">
        <f>"9781843391463"</f>
        <v>9781843391463</v>
      </c>
      <c r="D411" t="str">
        <f>"9781780401171"</f>
        <v>9781780401171</v>
      </c>
      <c r="E411" t="s">
        <v>2237</v>
      </c>
      <c r="F411" s="1">
        <v>41897</v>
      </c>
      <c r="G411" t="s">
        <v>2257</v>
      </c>
      <c r="H411" t="s">
        <v>2258</v>
      </c>
      <c r="I411" t="s">
        <v>2259</v>
      </c>
      <c r="J411">
        <v>628.42999999999995</v>
      </c>
      <c r="K411" t="s">
        <v>2260</v>
      </c>
      <c r="L411" t="s">
        <v>20</v>
      </c>
      <c r="M411" t="s">
        <v>2261</v>
      </c>
    </row>
    <row r="412" spans="1:13" x14ac:dyDescent="0.25">
      <c r="A412">
        <v>3137295</v>
      </c>
      <c r="B412" t="s">
        <v>2262</v>
      </c>
      <c r="C412" t="str">
        <f>"9789639776555"</f>
        <v>9789639776555</v>
      </c>
      <c r="D412" t="str">
        <f>"9786155211812"</f>
        <v>9786155211812</v>
      </c>
      <c r="E412" t="s">
        <v>2263</v>
      </c>
      <c r="F412" s="1">
        <v>40127</v>
      </c>
      <c r="G412" t="s">
        <v>2264</v>
      </c>
      <c r="H412" t="s">
        <v>139</v>
      </c>
      <c r="I412" t="s">
        <v>2265</v>
      </c>
      <c r="J412" t="s">
        <v>2266</v>
      </c>
      <c r="K412" t="s">
        <v>2267</v>
      </c>
      <c r="L412" t="s">
        <v>20</v>
      </c>
      <c r="M412" t="s">
        <v>2268</v>
      </c>
    </row>
    <row r="413" spans="1:13" x14ac:dyDescent="0.25">
      <c r="A413">
        <v>3384091</v>
      </c>
      <c r="B413" t="s">
        <v>2269</v>
      </c>
      <c r="C413" t="str">
        <f>"9781909254367"</f>
        <v>9781909254367</v>
      </c>
      <c r="D413" t="str">
        <f>"9781909254374"</f>
        <v>9781909254374</v>
      </c>
      <c r="E413" t="s">
        <v>2270</v>
      </c>
      <c r="F413" s="1">
        <v>41306</v>
      </c>
      <c r="G413" t="s">
        <v>2271</v>
      </c>
      <c r="H413" t="s">
        <v>70</v>
      </c>
      <c r="L413" t="s">
        <v>20</v>
      </c>
      <c r="M413" t="s">
        <v>2272</v>
      </c>
    </row>
    <row r="414" spans="1:13" x14ac:dyDescent="0.25">
      <c r="A414">
        <v>3384092</v>
      </c>
      <c r="B414" t="s">
        <v>2273</v>
      </c>
      <c r="C414" t="str">
        <f>"9781909254459"</f>
        <v>9781909254459</v>
      </c>
      <c r="D414" t="str">
        <f>"9781909254466"</f>
        <v>9781909254466</v>
      </c>
      <c r="E414" t="s">
        <v>2270</v>
      </c>
      <c r="F414" s="1">
        <v>41365</v>
      </c>
      <c r="G414" t="s">
        <v>2274</v>
      </c>
      <c r="H414" t="s">
        <v>16</v>
      </c>
      <c r="I414" t="s">
        <v>2275</v>
      </c>
      <c r="K414" t="s">
        <v>2276</v>
      </c>
      <c r="L414" t="s">
        <v>20</v>
      </c>
      <c r="M414" t="s">
        <v>2277</v>
      </c>
    </row>
    <row r="415" spans="1:13" x14ac:dyDescent="0.25">
      <c r="A415">
        <v>3384093</v>
      </c>
      <c r="B415" t="s">
        <v>2278</v>
      </c>
      <c r="C415" t="str">
        <f>"9781909254114"</f>
        <v>9781909254114</v>
      </c>
      <c r="D415" t="str">
        <f>"9781909254121"</f>
        <v>9781909254121</v>
      </c>
      <c r="E415" t="s">
        <v>2270</v>
      </c>
      <c r="F415" s="1">
        <v>41214</v>
      </c>
      <c r="G415" t="s">
        <v>2279</v>
      </c>
      <c r="H415" t="s">
        <v>64</v>
      </c>
      <c r="J415">
        <v>303.48241046999999</v>
      </c>
      <c r="L415" t="s">
        <v>20</v>
      </c>
      <c r="M415" t="s">
        <v>2280</v>
      </c>
    </row>
    <row r="416" spans="1:13" x14ac:dyDescent="0.25">
      <c r="A416">
        <v>3384094</v>
      </c>
      <c r="B416" t="s">
        <v>2281</v>
      </c>
      <c r="C416" t="str">
        <f>"9781906924256"</f>
        <v>9781906924256</v>
      </c>
      <c r="D416" t="str">
        <f>"9781906924263"</f>
        <v>9781906924263</v>
      </c>
      <c r="E416" t="s">
        <v>2270</v>
      </c>
      <c r="F416" s="1">
        <v>40360</v>
      </c>
      <c r="G416" t="s">
        <v>2282</v>
      </c>
      <c r="H416" t="s">
        <v>64</v>
      </c>
      <c r="I416" t="s">
        <v>2283</v>
      </c>
      <c r="J416">
        <v>303.48329999999999</v>
      </c>
      <c r="L416" t="s">
        <v>20</v>
      </c>
      <c r="M416" t="s">
        <v>2284</v>
      </c>
    </row>
    <row r="417" spans="1:13" x14ac:dyDescent="0.25">
      <c r="A417">
        <v>3384095</v>
      </c>
      <c r="B417" t="s">
        <v>2285</v>
      </c>
      <c r="C417" t="str">
        <f>"9781906924287"</f>
        <v>9781906924287</v>
      </c>
      <c r="D417" t="str">
        <f>"9781906924294"</f>
        <v>9781906924294</v>
      </c>
      <c r="E417" t="s">
        <v>2270</v>
      </c>
      <c r="F417" s="1">
        <v>40452</v>
      </c>
      <c r="G417" t="s">
        <v>2286</v>
      </c>
      <c r="H417" t="s">
        <v>743</v>
      </c>
      <c r="L417" t="s">
        <v>20</v>
      </c>
      <c r="M417" t="s">
        <v>2287</v>
      </c>
    </row>
    <row r="418" spans="1:13" x14ac:dyDescent="0.25">
      <c r="A418">
        <v>3384096</v>
      </c>
      <c r="B418" t="s">
        <v>2288</v>
      </c>
      <c r="C418" t="str">
        <f>"9781906924218"</f>
        <v>9781906924218</v>
      </c>
      <c r="D418" t="str">
        <f>"9781906924232"</f>
        <v>9781906924232</v>
      </c>
      <c r="E418" t="s">
        <v>2270</v>
      </c>
      <c r="F418" s="1">
        <v>40269</v>
      </c>
      <c r="G418" t="s">
        <v>2289</v>
      </c>
      <c r="H418" t="s">
        <v>70</v>
      </c>
      <c r="L418" t="s">
        <v>1279</v>
      </c>
      <c r="M418" t="s">
        <v>2290</v>
      </c>
    </row>
    <row r="419" spans="1:13" x14ac:dyDescent="0.25">
      <c r="A419">
        <v>3384097</v>
      </c>
      <c r="B419" t="s">
        <v>2291</v>
      </c>
      <c r="C419" t="str">
        <f>"9781909254268"</f>
        <v>9781909254268</v>
      </c>
      <c r="D419" t="str">
        <f>"9781909254275"</f>
        <v>9781909254275</v>
      </c>
      <c r="E419" t="s">
        <v>2270</v>
      </c>
      <c r="F419" s="1">
        <v>41091</v>
      </c>
      <c r="G419" t="s">
        <v>2292</v>
      </c>
      <c r="H419" t="s">
        <v>2293</v>
      </c>
      <c r="J419">
        <v>1.3028500000000001</v>
      </c>
      <c r="L419" t="s">
        <v>20</v>
      </c>
      <c r="M419" t="s">
        <v>2294</v>
      </c>
    </row>
    <row r="420" spans="1:13" x14ac:dyDescent="0.25">
      <c r="A420">
        <v>3384098</v>
      </c>
      <c r="B420" t="s">
        <v>2295</v>
      </c>
      <c r="C420" t="str">
        <f>"9781906924348"</f>
        <v>9781906924348</v>
      </c>
      <c r="D420" t="str">
        <f>"9781906924355"</f>
        <v>9781906924355</v>
      </c>
      <c r="E420" t="s">
        <v>2270</v>
      </c>
      <c r="F420" s="1">
        <v>40603</v>
      </c>
      <c r="G420" t="s">
        <v>2296</v>
      </c>
      <c r="H420" t="s">
        <v>2293</v>
      </c>
      <c r="J420">
        <v>80.900000000000006</v>
      </c>
      <c r="L420" t="s">
        <v>20</v>
      </c>
      <c r="M420" t="s">
        <v>2297</v>
      </c>
    </row>
    <row r="421" spans="1:13" x14ac:dyDescent="0.25">
      <c r="A421">
        <v>3384099</v>
      </c>
      <c r="B421" t="s">
        <v>2298</v>
      </c>
      <c r="C421" t="str">
        <f>"9781906924317"</f>
        <v>9781906924317</v>
      </c>
      <c r="D421" t="str">
        <f>"9781906924324"</f>
        <v>9781906924324</v>
      </c>
      <c r="E421" t="s">
        <v>2270</v>
      </c>
      <c r="F421" s="1">
        <v>40513</v>
      </c>
      <c r="G421" t="s">
        <v>2299</v>
      </c>
      <c r="H421" t="s">
        <v>70</v>
      </c>
      <c r="I421" t="s">
        <v>2300</v>
      </c>
      <c r="J421">
        <v>822.7</v>
      </c>
      <c r="L421" t="s">
        <v>20</v>
      </c>
      <c r="M421" t="s">
        <v>2301</v>
      </c>
    </row>
    <row r="422" spans="1:13" x14ac:dyDescent="0.25">
      <c r="A422">
        <v>3384100</v>
      </c>
      <c r="B422" t="s">
        <v>2302</v>
      </c>
      <c r="C422" t="str">
        <f>"9781906924881"</f>
        <v>9781906924881</v>
      </c>
      <c r="D422" t="str">
        <f>"9781906924898"</f>
        <v>9781906924898</v>
      </c>
      <c r="E422" t="s">
        <v>2270</v>
      </c>
      <c r="F422" s="1">
        <v>41091</v>
      </c>
      <c r="G422" t="s">
        <v>2303</v>
      </c>
      <c r="H422" t="s">
        <v>2304</v>
      </c>
      <c r="L422" t="s">
        <v>20</v>
      </c>
      <c r="M422" t="s">
        <v>2305</v>
      </c>
    </row>
    <row r="423" spans="1:13" x14ac:dyDescent="0.25">
      <c r="A423">
        <v>3384101</v>
      </c>
      <c r="B423" t="s">
        <v>2306</v>
      </c>
      <c r="C423" t="str">
        <f>"9781906924461"</f>
        <v>9781906924461</v>
      </c>
      <c r="D423" t="str">
        <f>"9781906924478"</f>
        <v>9781906924478</v>
      </c>
      <c r="E423" t="s">
        <v>2270</v>
      </c>
      <c r="F423" s="1">
        <v>40994</v>
      </c>
      <c r="G423" t="s">
        <v>2307</v>
      </c>
      <c r="H423" t="s">
        <v>2308</v>
      </c>
      <c r="L423" t="s">
        <v>20</v>
      </c>
      <c r="M423" t="s">
        <v>2309</v>
      </c>
    </row>
    <row r="424" spans="1:13" x14ac:dyDescent="0.25">
      <c r="A424">
        <v>3384102</v>
      </c>
      <c r="B424" t="s">
        <v>2310</v>
      </c>
      <c r="C424" t="str">
        <f>"9781906924430"</f>
        <v>9781906924430</v>
      </c>
      <c r="D424" t="str">
        <f>"9781906924447"</f>
        <v>9781906924447</v>
      </c>
      <c r="E424" t="s">
        <v>2270</v>
      </c>
      <c r="F424" s="1">
        <v>41456</v>
      </c>
      <c r="G424" t="s">
        <v>2311</v>
      </c>
      <c r="H424" t="s">
        <v>70</v>
      </c>
      <c r="J424">
        <v>801.3</v>
      </c>
      <c r="L424" t="s">
        <v>20</v>
      </c>
      <c r="M424" t="s">
        <v>2312</v>
      </c>
    </row>
    <row r="425" spans="1:13" x14ac:dyDescent="0.25">
      <c r="A425">
        <v>3384103</v>
      </c>
      <c r="B425" t="s">
        <v>2313</v>
      </c>
      <c r="C425" t="str">
        <f>"9781906924409"</f>
        <v>9781906924409</v>
      </c>
      <c r="D425" t="str">
        <f>"9781906924416"</f>
        <v>9781906924416</v>
      </c>
      <c r="E425" t="s">
        <v>2270</v>
      </c>
      <c r="F425" s="1">
        <v>40695</v>
      </c>
      <c r="G425" t="s">
        <v>2314</v>
      </c>
      <c r="H425" t="s">
        <v>64</v>
      </c>
      <c r="J425">
        <v>303.66091712410002</v>
      </c>
      <c r="L425" t="s">
        <v>20</v>
      </c>
      <c r="M425" t="s">
        <v>2315</v>
      </c>
    </row>
    <row r="426" spans="1:13" x14ac:dyDescent="0.25">
      <c r="A426">
        <v>3384104</v>
      </c>
      <c r="B426" t="s">
        <v>2316</v>
      </c>
      <c r="C426" t="str">
        <f>"9781906924577"</f>
        <v>9781906924577</v>
      </c>
      <c r="D426" t="str">
        <f>"9781906924584"</f>
        <v>9781906924584</v>
      </c>
      <c r="E426" t="s">
        <v>2270</v>
      </c>
      <c r="F426" s="1">
        <v>40848</v>
      </c>
      <c r="G426" t="s">
        <v>2317</v>
      </c>
      <c r="H426" t="s">
        <v>70</v>
      </c>
      <c r="L426" t="s">
        <v>20</v>
      </c>
      <c r="M426" t="s">
        <v>2318</v>
      </c>
    </row>
    <row r="427" spans="1:13" x14ac:dyDescent="0.25">
      <c r="A427">
        <v>3384105</v>
      </c>
      <c r="B427" t="s">
        <v>2319</v>
      </c>
      <c r="C427" t="str">
        <f>"9781906924546"</f>
        <v>9781906924546</v>
      </c>
      <c r="D427" t="str">
        <f>"9781906924553"</f>
        <v>9781906924553</v>
      </c>
      <c r="E427" t="s">
        <v>2270</v>
      </c>
      <c r="F427" s="1">
        <v>40848</v>
      </c>
      <c r="G427" t="s">
        <v>2320</v>
      </c>
      <c r="H427" t="s">
        <v>2321</v>
      </c>
      <c r="L427" t="s">
        <v>20</v>
      </c>
      <c r="M427" t="s">
        <v>2322</v>
      </c>
    </row>
    <row r="428" spans="1:13" x14ac:dyDescent="0.25">
      <c r="A428">
        <v>3384106</v>
      </c>
      <c r="B428" t="s">
        <v>2323</v>
      </c>
      <c r="C428" t="str">
        <f>"9781906924515"</f>
        <v>9781906924515</v>
      </c>
      <c r="D428" t="str">
        <f>"9781906924522"</f>
        <v>9781906924522</v>
      </c>
      <c r="E428" t="s">
        <v>2270</v>
      </c>
      <c r="F428" s="1">
        <v>40787</v>
      </c>
      <c r="G428" t="s">
        <v>2324</v>
      </c>
      <c r="H428" t="s">
        <v>70</v>
      </c>
      <c r="J428">
        <v>809.93381999999997</v>
      </c>
      <c r="L428" t="s">
        <v>20</v>
      </c>
      <c r="M428" t="s">
        <v>2325</v>
      </c>
    </row>
    <row r="429" spans="1:13" x14ac:dyDescent="0.25">
      <c r="A429">
        <v>3384107</v>
      </c>
      <c r="B429" t="s">
        <v>2326</v>
      </c>
      <c r="C429" t="str">
        <f>"9781906924669"</f>
        <v>9781906924669</v>
      </c>
      <c r="D429" t="str">
        <f>"9781906924676"</f>
        <v>9781906924676</v>
      </c>
      <c r="E429" t="s">
        <v>2270</v>
      </c>
      <c r="F429" s="1">
        <v>40940</v>
      </c>
      <c r="G429" t="s">
        <v>2327</v>
      </c>
      <c r="H429" t="s">
        <v>64</v>
      </c>
      <c r="J429">
        <v>305.40947090340001</v>
      </c>
      <c r="L429" t="s">
        <v>20</v>
      </c>
      <c r="M429" t="s">
        <v>2328</v>
      </c>
    </row>
    <row r="430" spans="1:13" x14ac:dyDescent="0.25">
      <c r="A430">
        <v>3384108</v>
      </c>
      <c r="B430" t="s">
        <v>2329</v>
      </c>
      <c r="C430" t="str">
        <f>"9781909254213"</f>
        <v>9781909254213</v>
      </c>
      <c r="D430" t="str">
        <f>"9781909254220"</f>
        <v>9781909254220</v>
      </c>
      <c r="E430" t="s">
        <v>2270</v>
      </c>
      <c r="F430" s="1">
        <v>41275</v>
      </c>
      <c r="G430" t="s">
        <v>2330</v>
      </c>
      <c r="H430" t="s">
        <v>288</v>
      </c>
      <c r="L430" t="s">
        <v>20</v>
      </c>
      <c r="M430" t="s">
        <v>2331</v>
      </c>
    </row>
    <row r="431" spans="1:13" x14ac:dyDescent="0.25">
      <c r="A431">
        <v>3384109</v>
      </c>
      <c r="B431" t="s">
        <v>2332</v>
      </c>
      <c r="C431" t="str">
        <f>"9781906924713"</f>
        <v>9781906924713</v>
      </c>
      <c r="D431" t="str">
        <f>"9781906924720"</f>
        <v>9781906924720</v>
      </c>
      <c r="E431" t="s">
        <v>2270</v>
      </c>
      <c r="F431" s="1">
        <v>28040</v>
      </c>
      <c r="G431" t="s">
        <v>2333</v>
      </c>
      <c r="H431" t="s">
        <v>1551</v>
      </c>
      <c r="I431" t="s">
        <v>2334</v>
      </c>
      <c r="J431">
        <v>398.20960000000002</v>
      </c>
      <c r="L431" t="s">
        <v>20</v>
      </c>
      <c r="M431" t="s">
        <v>2335</v>
      </c>
    </row>
    <row r="432" spans="1:13" x14ac:dyDescent="0.25">
      <c r="A432">
        <v>3384110</v>
      </c>
      <c r="B432" t="s">
        <v>2336</v>
      </c>
      <c r="C432" t="str">
        <f>"9781906924133"</f>
        <v>9781906924133</v>
      </c>
      <c r="D432" t="str">
        <f>"9781906924140"</f>
        <v>9781906924140</v>
      </c>
      <c r="E432" t="s">
        <v>2270</v>
      </c>
      <c r="F432" s="1">
        <v>40179</v>
      </c>
      <c r="G432" t="s">
        <v>2337</v>
      </c>
      <c r="H432" t="s">
        <v>239</v>
      </c>
      <c r="J432">
        <v>340.094585</v>
      </c>
      <c r="L432" t="s">
        <v>20</v>
      </c>
      <c r="M432" t="s">
        <v>2338</v>
      </c>
    </row>
    <row r="433" spans="1:13" x14ac:dyDescent="0.25">
      <c r="A433">
        <v>3384111</v>
      </c>
      <c r="B433" t="s">
        <v>2339</v>
      </c>
      <c r="C433" t="str">
        <f>"9781906924164"</f>
        <v>9781906924164</v>
      </c>
      <c r="D433" t="str">
        <f>"9781906924171"</f>
        <v>9781906924171</v>
      </c>
      <c r="E433" t="s">
        <v>2270</v>
      </c>
      <c r="F433" s="1">
        <v>40360</v>
      </c>
      <c r="G433" t="s">
        <v>2340</v>
      </c>
      <c r="H433" t="s">
        <v>310</v>
      </c>
      <c r="I433" t="s">
        <v>2341</v>
      </c>
      <c r="J433">
        <v>229.2406</v>
      </c>
      <c r="L433" t="s">
        <v>20</v>
      </c>
      <c r="M433" t="s">
        <v>2342</v>
      </c>
    </row>
    <row r="434" spans="1:13" x14ac:dyDescent="0.25">
      <c r="A434">
        <v>3384112</v>
      </c>
      <c r="B434" t="s">
        <v>2343</v>
      </c>
      <c r="C434" t="str">
        <f>"9781906924195"</f>
        <v>9781906924195</v>
      </c>
      <c r="D434" t="str">
        <f>"9781906924201"</f>
        <v>9781906924201</v>
      </c>
      <c r="E434" t="s">
        <v>2270</v>
      </c>
      <c r="F434" s="1">
        <v>40330</v>
      </c>
      <c r="G434" t="s">
        <v>2344</v>
      </c>
      <c r="H434" t="s">
        <v>30</v>
      </c>
      <c r="J434">
        <v>352.74900000000002</v>
      </c>
      <c r="L434" t="s">
        <v>20</v>
      </c>
      <c r="M434" t="s">
        <v>2345</v>
      </c>
    </row>
    <row r="435" spans="1:13" x14ac:dyDescent="0.25">
      <c r="A435">
        <v>3384113</v>
      </c>
      <c r="B435" t="s">
        <v>2346</v>
      </c>
      <c r="C435" t="str">
        <f>"9781906924041"</f>
        <v>9781906924041</v>
      </c>
      <c r="D435" t="str">
        <f>"9781906924058"</f>
        <v>9781906924058</v>
      </c>
      <c r="E435" t="s">
        <v>2270</v>
      </c>
      <c r="F435" s="1">
        <v>39814</v>
      </c>
      <c r="G435" t="s">
        <v>2347</v>
      </c>
      <c r="H435" t="s">
        <v>246</v>
      </c>
      <c r="J435">
        <v>791.43090459999996</v>
      </c>
      <c r="L435" t="s">
        <v>20</v>
      </c>
      <c r="M435" t="s">
        <v>2348</v>
      </c>
    </row>
    <row r="436" spans="1:13" x14ac:dyDescent="0.25">
      <c r="A436">
        <v>3384114</v>
      </c>
      <c r="B436" t="s">
        <v>2349</v>
      </c>
      <c r="C436" t="str">
        <f>"9781906924072"</f>
        <v>9781906924072</v>
      </c>
      <c r="D436" t="str">
        <f>"9781906924089"</f>
        <v>9781906924089</v>
      </c>
      <c r="E436" t="s">
        <v>2270</v>
      </c>
      <c r="F436" s="1">
        <v>39923</v>
      </c>
      <c r="G436" t="s">
        <v>2330</v>
      </c>
      <c r="H436" t="s">
        <v>101</v>
      </c>
      <c r="I436" t="s">
        <v>2350</v>
      </c>
      <c r="J436">
        <v>831.91200000000003</v>
      </c>
      <c r="K436" t="s">
        <v>2351</v>
      </c>
      <c r="L436" t="s">
        <v>20</v>
      </c>
      <c r="M436" t="s">
        <v>2352</v>
      </c>
    </row>
    <row r="437" spans="1:13" x14ac:dyDescent="0.25">
      <c r="A437">
        <v>3384115</v>
      </c>
      <c r="B437" t="s">
        <v>2353</v>
      </c>
      <c r="C437" t="str">
        <f>"9781906924010"</f>
        <v>9781906924010</v>
      </c>
      <c r="D437" t="str">
        <f>"9781906924027"</f>
        <v>9781906924027</v>
      </c>
      <c r="E437" t="s">
        <v>2270</v>
      </c>
      <c r="F437" s="1">
        <v>39753</v>
      </c>
      <c r="G437" t="s">
        <v>2354</v>
      </c>
      <c r="H437" t="s">
        <v>139</v>
      </c>
      <c r="J437">
        <v>949.50599999999997</v>
      </c>
      <c r="L437" t="s">
        <v>20</v>
      </c>
      <c r="M437" t="s">
        <v>2355</v>
      </c>
    </row>
    <row r="438" spans="1:13" x14ac:dyDescent="0.25">
      <c r="A438">
        <v>3384116</v>
      </c>
      <c r="B438" t="s">
        <v>2356</v>
      </c>
      <c r="C438" t="str">
        <f>"9781906924102"</f>
        <v>9781906924102</v>
      </c>
      <c r="D438" t="str">
        <f>"9781906924119"</f>
        <v>9781906924119</v>
      </c>
      <c r="E438" t="s">
        <v>2270</v>
      </c>
      <c r="F438" s="1">
        <v>40087</v>
      </c>
      <c r="G438" t="s">
        <v>2357</v>
      </c>
      <c r="H438" t="s">
        <v>70</v>
      </c>
      <c r="J438">
        <v>820.99282000000005</v>
      </c>
      <c r="L438" t="s">
        <v>20</v>
      </c>
      <c r="M438" t="s">
        <v>2358</v>
      </c>
    </row>
    <row r="439" spans="1:13" x14ac:dyDescent="0.25">
      <c r="A439">
        <v>3384117</v>
      </c>
      <c r="B439" t="s">
        <v>2359</v>
      </c>
      <c r="C439" t="str">
        <f>"9781909254169"</f>
        <v>9781909254169</v>
      </c>
      <c r="D439" t="str">
        <f>"9781909254176"</f>
        <v>9781909254176</v>
      </c>
      <c r="E439" t="s">
        <v>2270</v>
      </c>
      <c r="F439" s="1">
        <v>41214</v>
      </c>
      <c r="G439" t="s">
        <v>2320</v>
      </c>
      <c r="H439" t="s">
        <v>70</v>
      </c>
      <c r="J439">
        <v>871.01</v>
      </c>
      <c r="L439" t="s">
        <v>20</v>
      </c>
      <c r="M439" t="s">
        <v>2360</v>
      </c>
    </row>
    <row r="440" spans="1:13" x14ac:dyDescent="0.25">
      <c r="A440">
        <v>3384118</v>
      </c>
      <c r="B440" t="s">
        <v>2361</v>
      </c>
      <c r="C440" t="str">
        <f>"9781906924935"</f>
        <v>9781906924935</v>
      </c>
      <c r="D440" t="str">
        <f>"9781906924942"</f>
        <v>9781906924942</v>
      </c>
      <c r="E440" t="s">
        <v>2270</v>
      </c>
      <c r="F440" s="1">
        <v>41153</v>
      </c>
      <c r="G440" t="s">
        <v>2362</v>
      </c>
      <c r="H440" t="s">
        <v>169</v>
      </c>
      <c r="I440" t="s">
        <v>2363</v>
      </c>
      <c r="J440" t="s">
        <v>2364</v>
      </c>
      <c r="L440" t="s">
        <v>20</v>
      </c>
      <c r="M440" t="s">
        <v>2365</v>
      </c>
    </row>
    <row r="441" spans="1:13" x14ac:dyDescent="0.25">
      <c r="A441">
        <v>3384119</v>
      </c>
      <c r="B441" t="s">
        <v>2366</v>
      </c>
      <c r="C441" t="str">
        <f>"9781906924782"</f>
        <v>9781906924782</v>
      </c>
      <c r="D441" t="str">
        <f>"9781906924799"</f>
        <v>9781906924799</v>
      </c>
      <c r="E441" t="s">
        <v>2270</v>
      </c>
      <c r="F441" s="1">
        <v>41000</v>
      </c>
      <c r="G441" t="s">
        <v>2367</v>
      </c>
      <c r="H441" t="s">
        <v>2368</v>
      </c>
      <c r="J441">
        <v>330</v>
      </c>
      <c r="L441" t="s">
        <v>20</v>
      </c>
      <c r="M441" t="s">
        <v>2369</v>
      </c>
    </row>
    <row r="442" spans="1:13" x14ac:dyDescent="0.25">
      <c r="A442">
        <v>3384120</v>
      </c>
      <c r="B442" t="s">
        <v>2370</v>
      </c>
      <c r="C442" t="str">
        <f>"9781906924379"</f>
        <v>9781906924379</v>
      </c>
      <c r="D442" t="str">
        <f>"9781906924386"</f>
        <v>9781906924386</v>
      </c>
      <c r="E442" t="s">
        <v>2270</v>
      </c>
      <c r="F442" s="1">
        <v>40664</v>
      </c>
      <c r="G442" t="s">
        <v>2371</v>
      </c>
      <c r="H442" t="s">
        <v>70</v>
      </c>
      <c r="J442">
        <v>813.4</v>
      </c>
      <c r="L442" t="s">
        <v>20</v>
      </c>
      <c r="M442" t="s">
        <v>2372</v>
      </c>
    </row>
    <row r="443" spans="1:13" x14ac:dyDescent="0.25">
      <c r="A443">
        <v>3384121</v>
      </c>
      <c r="B443" t="s">
        <v>2373</v>
      </c>
      <c r="C443" t="str">
        <f>"9781909254602"</f>
        <v>9781909254602</v>
      </c>
      <c r="D443" t="str">
        <f>"9781909254619"</f>
        <v>9781909254619</v>
      </c>
      <c r="E443" t="s">
        <v>2270</v>
      </c>
      <c r="F443" s="1">
        <v>41456</v>
      </c>
      <c r="G443" t="s">
        <v>2374</v>
      </c>
      <c r="H443" t="s">
        <v>363</v>
      </c>
      <c r="I443" t="s">
        <v>2375</v>
      </c>
      <c r="L443" t="s">
        <v>20</v>
      </c>
      <c r="M443" t="s">
        <v>2376</v>
      </c>
    </row>
    <row r="444" spans="1:13" x14ac:dyDescent="0.25">
      <c r="A444">
        <v>3384122</v>
      </c>
      <c r="B444" t="s">
        <v>2377</v>
      </c>
      <c r="C444" t="str">
        <f>"9781909254763"</f>
        <v>9781909254763</v>
      </c>
      <c r="D444" t="str">
        <f>"9781909254770"</f>
        <v>9781909254770</v>
      </c>
      <c r="E444" t="s">
        <v>2270</v>
      </c>
      <c r="F444" s="1">
        <v>41640</v>
      </c>
      <c r="G444" t="s">
        <v>2378</v>
      </c>
      <c r="H444" t="s">
        <v>70</v>
      </c>
      <c r="I444" t="s">
        <v>2379</v>
      </c>
      <c r="L444" t="s">
        <v>20</v>
      </c>
      <c r="M444" t="s">
        <v>2380</v>
      </c>
    </row>
    <row r="445" spans="1:13" x14ac:dyDescent="0.25">
      <c r="A445">
        <v>3384123</v>
      </c>
      <c r="B445" t="s">
        <v>2381</v>
      </c>
      <c r="C445" t="str">
        <f>"9781909254718"</f>
        <v>9781909254718</v>
      </c>
      <c r="D445" t="str">
        <f>"9781909254725"</f>
        <v>9781909254725</v>
      </c>
      <c r="E445" t="s">
        <v>2270</v>
      </c>
      <c r="F445" s="1">
        <v>41548</v>
      </c>
      <c r="G445" t="s">
        <v>2382</v>
      </c>
      <c r="H445" t="s">
        <v>139</v>
      </c>
      <c r="I445" t="s">
        <v>2383</v>
      </c>
      <c r="L445" t="s">
        <v>20</v>
      </c>
      <c r="M445" t="s">
        <v>2384</v>
      </c>
    </row>
    <row r="446" spans="1:13" x14ac:dyDescent="0.25">
      <c r="A446">
        <v>3384124</v>
      </c>
      <c r="B446" t="s">
        <v>2385</v>
      </c>
      <c r="C446" t="str">
        <f>"9781909254640"</f>
        <v>9781909254640</v>
      </c>
      <c r="D446" t="str">
        <f>"9781909254411"</f>
        <v>9781909254411</v>
      </c>
      <c r="E446" t="s">
        <v>2270</v>
      </c>
      <c r="F446" s="1">
        <v>41579</v>
      </c>
      <c r="G446" t="s">
        <v>2386</v>
      </c>
      <c r="H446" t="s">
        <v>139</v>
      </c>
      <c r="I446" t="s">
        <v>2387</v>
      </c>
      <c r="L446" t="s">
        <v>20</v>
      </c>
      <c r="M446" t="s">
        <v>2388</v>
      </c>
    </row>
    <row r="447" spans="1:13" x14ac:dyDescent="0.25">
      <c r="A447">
        <v>3384125</v>
      </c>
      <c r="B447" t="s">
        <v>2389</v>
      </c>
      <c r="C447" t="str">
        <f>"9781783740130"</f>
        <v>9781783740130</v>
      </c>
      <c r="D447" t="str">
        <f>"9781783740147"</f>
        <v>9781783740147</v>
      </c>
      <c r="E447" t="s">
        <v>2270</v>
      </c>
      <c r="F447" s="1">
        <v>41671</v>
      </c>
      <c r="G447" t="s">
        <v>2390</v>
      </c>
      <c r="H447" t="s">
        <v>139</v>
      </c>
      <c r="I447" t="s">
        <v>2391</v>
      </c>
      <c r="L447" t="s">
        <v>20</v>
      </c>
      <c r="M447" t="s">
        <v>2392</v>
      </c>
    </row>
    <row r="448" spans="1:13" x14ac:dyDescent="0.25">
      <c r="A448">
        <v>3384126</v>
      </c>
      <c r="B448" t="s">
        <v>2393</v>
      </c>
      <c r="C448" t="str">
        <f>"9781783740017"</f>
        <v>9781783740017</v>
      </c>
      <c r="D448" t="str">
        <f>"9781783740024"</f>
        <v>9781783740024</v>
      </c>
      <c r="E448" t="s">
        <v>2270</v>
      </c>
      <c r="F448" s="1">
        <v>41518</v>
      </c>
      <c r="G448" t="s">
        <v>2394</v>
      </c>
      <c r="H448" t="s">
        <v>70</v>
      </c>
      <c r="I448" t="s">
        <v>2395</v>
      </c>
      <c r="L448" t="s">
        <v>20</v>
      </c>
      <c r="M448" t="s">
        <v>2396</v>
      </c>
    </row>
    <row r="449" spans="1:13" x14ac:dyDescent="0.25">
      <c r="A449">
        <v>3384127</v>
      </c>
      <c r="B449" t="s">
        <v>2397</v>
      </c>
      <c r="C449" t="str">
        <f>"9781783740185"</f>
        <v>9781783740185</v>
      </c>
      <c r="D449" t="str">
        <f>"9781783740192"</f>
        <v>9781783740192</v>
      </c>
      <c r="E449" t="s">
        <v>2270</v>
      </c>
      <c r="F449" s="1">
        <v>41609</v>
      </c>
      <c r="G449" t="s">
        <v>2398</v>
      </c>
      <c r="H449" t="s">
        <v>70</v>
      </c>
      <c r="I449" t="s">
        <v>2399</v>
      </c>
      <c r="L449" t="s">
        <v>20</v>
      </c>
      <c r="M449" t="s">
        <v>2400</v>
      </c>
    </row>
    <row r="450" spans="1:13" x14ac:dyDescent="0.25">
      <c r="A450">
        <v>3384128</v>
      </c>
      <c r="B450" t="s">
        <v>2401</v>
      </c>
      <c r="C450" t="str">
        <f>"9781909254060"</f>
        <v>9781909254060</v>
      </c>
      <c r="D450" t="str">
        <f>"9781909254077"</f>
        <v>9781909254077</v>
      </c>
      <c r="E450" t="s">
        <v>2270</v>
      </c>
      <c r="F450" s="1">
        <v>41548</v>
      </c>
      <c r="G450" t="s">
        <v>2402</v>
      </c>
      <c r="H450" t="s">
        <v>64</v>
      </c>
      <c r="I450" t="s">
        <v>2403</v>
      </c>
      <c r="L450" t="s">
        <v>20</v>
      </c>
      <c r="M450" t="s">
        <v>2404</v>
      </c>
    </row>
    <row r="451" spans="1:13" x14ac:dyDescent="0.25">
      <c r="A451">
        <v>3384129</v>
      </c>
      <c r="B451" t="s">
        <v>2405</v>
      </c>
      <c r="C451" t="str">
        <f>"9781909254015"</f>
        <v>9781909254015</v>
      </c>
      <c r="D451" t="str">
        <f>"9781909254022"</f>
        <v>9781909254022</v>
      </c>
      <c r="E451" t="s">
        <v>2270</v>
      </c>
      <c r="F451" s="1">
        <v>41456</v>
      </c>
      <c r="G451" t="s">
        <v>2406</v>
      </c>
      <c r="H451" t="s">
        <v>64</v>
      </c>
      <c r="I451" t="s">
        <v>2407</v>
      </c>
      <c r="L451" t="s">
        <v>20</v>
      </c>
      <c r="M451" t="s">
        <v>2408</v>
      </c>
    </row>
    <row r="452" spans="1:13" x14ac:dyDescent="0.25">
      <c r="A452">
        <v>3384130</v>
      </c>
      <c r="B452" t="s">
        <v>2409</v>
      </c>
      <c r="C452" t="str">
        <f>"9781909254312"</f>
        <v>9781909254312</v>
      </c>
      <c r="D452" t="str">
        <f>"9781909254329"</f>
        <v>9781909254329</v>
      </c>
      <c r="E452" t="s">
        <v>2270</v>
      </c>
      <c r="F452" s="1">
        <v>41395</v>
      </c>
      <c r="G452" t="s">
        <v>2410</v>
      </c>
      <c r="H452" t="s">
        <v>64</v>
      </c>
      <c r="I452" t="s">
        <v>2411</v>
      </c>
      <c r="L452" t="s">
        <v>20</v>
      </c>
      <c r="M452" t="s">
        <v>2412</v>
      </c>
    </row>
    <row r="453" spans="1:13" x14ac:dyDescent="0.25">
      <c r="A453">
        <v>3384131</v>
      </c>
      <c r="B453" t="s">
        <v>2413</v>
      </c>
      <c r="C453" t="str">
        <f>"9781783740383"</f>
        <v>9781783740383</v>
      </c>
      <c r="D453" t="str">
        <f>"9781783740390"</f>
        <v>9781783740390</v>
      </c>
      <c r="E453" t="s">
        <v>2270</v>
      </c>
      <c r="F453" s="1">
        <v>41852</v>
      </c>
      <c r="G453" t="s">
        <v>2414</v>
      </c>
      <c r="H453" t="s">
        <v>1586</v>
      </c>
      <c r="I453" t="s">
        <v>2415</v>
      </c>
      <c r="L453" t="s">
        <v>20</v>
      </c>
      <c r="M453" t="s">
        <v>2416</v>
      </c>
    </row>
    <row r="454" spans="1:13" x14ac:dyDescent="0.25">
      <c r="A454">
        <v>3384132</v>
      </c>
      <c r="B454" t="s">
        <v>2417</v>
      </c>
      <c r="C454" t="str">
        <f>"9781783740581"</f>
        <v>9781783740581</v>
      </c>
      <c r="D454" t="str">
        <f>"9781783740598"</f>
        <v>9781783740598</v>
      </c>
      <c r="E454" t="s">
        <v>2270</v>
      </c>
      <c r="F454" s="1">
        <v>41730</v>
      </c>
      <c r="G454" t="s">
        <v>2279</v>
      </c>
      <c r="H454" t="s">
        <v>139</v>
      </c>
      <c r="I454" t="s">
        <v>2418</v>
      </c>
      <c r="L454" t="s">
        <v>20</v>
      </c>
      <c r="M454" t="s">
        <v>2419</v>
      </c>
    </row>
    <row r="455" spans="1:13" x14ac:dyDescent="0.25">
      <c r="A455">
        <v>3384133</v>
      </c>
      <c r="B455" t="s">
        <v>2420</v>
      </c>
      <c r="C455" t="str">
        <f>"9781783740789"</f>
        <v>9781783740789</v>
      </c>
      <c r="D455" t="str">
        <f>"9781783740796"</f>
        <v>9781783740796</v>
      </c>
      <c r="E455" t="s">
        <v>2270</v>
      </c>
      <c r="F455" s="1">
        <v>41886</v>
      </c>
      <c r="G455" t="s">
        <v>2421</v>
      </c>
      <c r="H455" t="s">
        <v>139</v>
      </c>
      <c r="I455" t="s">
        <v>2422</v>
      </c>
      <c r="L455" t="s">
        <v>20</v>
      </c>
      <c r="M455" t="s">
        <v>2423</v>
      </c>
    </row>
    <row r="456" spans="1:13" x14ac:dyDescent="0.25">
      <c r="A456">
        <v>3384134</v>
      </c>
      <c r="B456" t="s">
        <v>2424</v>
      </c>
      <c r="C456" t="str">
        <f>"9781783740086"</f>
        <v>9781783740086</v>
      </c>
      <c r="D456" t="str">
        <f>"9781783740093"</f>
        <v>9781783740093</v>
      </c>
      <c r="E456" t="s">
        <v>2270</v>
      </c>
      <c r="F456" s="1">
        <v>41548</v>
      </c>
      <c r="G456" t="s">
        <v>2425</v>
      </c>
      <c r="H456" t="s">
        <v>70</v>
      </c>
      <c r="I456" t="s">
        <v>2426</v>
      </c>
      <c r="J456">
        <v>847.5</v>
      </c>
      <c r="K456" t="s">
        <v>2427</v>
      </c>
      <c r="L456" t="s">
        <v>20</v>
      </c>
      <c r="M456" t="s">
        <v>2428</v>
      </c>
    </row>
    <row r="457" spans="1:13" x14ac:dyDescent="0.25">
      <c r="A457">
        <v>3384135</v>
      </c>
      <c r="B457" t="s">
        <v>2429</v>
      </c>
      <c r="C457" t="str">
        <f>"9781783740284"</f>
        <v>9781783740284</v>
      </c>
      <c r="D457" t="str">
        <f>"9781783740291"</f>
        <v>9781783740291</v>
      </c>
      <c r="E457" t="s">
        <v>2270</v>
      </c>
      <c r="F457" s="1">
        <v>41699</v>
      </c>
      <c r="G457" t="s">
        <v>2430</v>
      </c>
      <c r="H457" t="s">
        <v>70</v>
      </c>
      <c r="I457" t="s">
        <v>2431</v>
      </c>
      <c r="L457" t="s">
        <v>20</v>
      </c>
      <c r="M457" t="s">
        <v>2432</v>
      </c>
    </row>
    <row r="458" spans="1:13" x14ac:dyDescent="0.25">
      <c r="A458">
        <v>3398754</v>
      </c>
      <c r="B458" t="s">
        <v>2433</v>
      </c>
      <c r="C458" t="str">
        <f>"9782759216789"</f>
        <v>9782759216789</v>
      </c>
      <c r="D458" t="str">
        <f>"9782759216796"</f>
        <v>9782759216796</v>
      </c>
      <c r="E458" t="s">
        <v>2434</v>
      </c>
      <c r="F458" s="1">
        <v>40898</v>
      </c>
      <c r="G458" t="s">
        <v>2435</v>
      </c>
      <c r="H458" t="s">
        <v>1283</v>
      </c>
      <c r="L458" t="s">
        <v>1279</v>
      </c>
      <c r="M458" t="s">
        <v>2436</v>
      </c>
    </row>
    <row r="459" spans="1:13" x14ac:dyDescent="0.25">
      <c r="A459">
        <v>3398755</v>
      </c>
      <c r="B459" t="s">
        <v>2437</v>
      </c>
      <c r="C459" t="str">
        <f>"9782759216598"</f>
        <v>9782759216598</v>
      </c>
      <c r="D459" t="str">
        <f>"9782759216567"</f>
        <v>9782759216567</v>
      </c>
      <c r="E459" t="s">
        <v>2434</v>
      </c>
      <c r="F459" s="1">
        <v>40854</v>
      </c>
      <c r="G459" t="s">
        <v>2438</v>
      </c>
      <c r="H459" t="s">
        <v>1283</v>
      </c>
      <c r="L459" t="s">
        <v>1279</v>
      </c>
      <c r="M459" t="s">
        <v>2439</v>
      </c>
    </row>
    <row r="460" spans="1:13" x14ac:dyDescent="0.25">
      <c r="A460">
        <v>3398771</v>
      </c>
      <c r="B460" t="s">
        <v>2440</v>
      </c>
      <c r="C460" t="str">
        <f>"9782759218059"</f>
        <v>9782759218059</v>
      </c>
      <c r="D460" t="str">
        <f>"9782759218066"</f>
        <v>9782759218066</v>
      </c>
      <c r="E460" t="s">
        <v>2434</v>
      </c>
      <c r="F460" s="1">
        <v>41038</v>
      </c>
      <c r="G460" t="s">
        <v>2441</v>
      </c>
      <c r="H460" t="s">
        <v>64</v>
      </c>
      <c r="L460" t="s">
        <v>1279</v>
      </c>
      <c r="M460" t="s">
        <v>2442</v>
      </c>
    </row>
    <row r="461" spans="1:13" x14ac:dyDescent="0.25">
      <c r="A461">
        <v>3398779</v>
      </c>
      <c r="B461" t="s">
        <v>2443</v>
      </c>
      <c r="C461" t="str">
        <f>"9782759208579"</f>
        <v>9782759208579</v>
      </c>
      <c r="D461" t="str">
        <f>"9782759208586"</f>
        <v>9782759208586</v>
      </c>
      <c r="E461" t="s">
        <v>2434</v>
      </c>
      <c r="F461" s="1">
        <v>40407</v>
      </c>
      <c r="G461" t="s">
        <v>2444</v>
      </c>
      <c r="H461" t="s">
        <v>30</v>
      </c>
      <c r="I461" t="s">
        <v>2445</v>
      </c>
      <c r="K461" t="s">
        <v>2446</v>
      </c>
      <c r="L461" t="s">
        <v>1279</v>
      </c>
      <c r="M461" t="s">
        <v>2447</v>
      </c>
    </row>
    <row r="462" spans="1:13" x14ac:dyDescent="0.25">
      <c r="A462">
        <v>3398805</v>
      </c>
      <c r="B462" t="s">
        <v>2448</v>
      </c>
      <c r="C462" t="str">
        <f>"9782759209514"</f>
        <v>9782759209514</v>
      </c>
      <c r="D462" t="str">
        <f>"9782759209521"</f>
        <v>9782759209521</v>
      </c>
      <c r="E462" t="s">
        <v>2434</v>
      </c>
      <c r="F462" s="1">
        <v>40675</v>
      </c>
      <c r="G462" t="s">
        <v>2449</v>
      </c>
      <c r="H462" t="s">
        <v>64</v>
      </c>
      <c r="L462" t="s">
        <v>20</v>
      </c>
      <c r="M462" t="s">
        <v>2450</v>
      </c>
    </row>
    <row r="463" spans="1:13" x14ac:dyDescent="0.25">
      <c r="A463">
        <v>3398815</v>
      </c>
      <c r="B463" t="s">
        <v>2451</v>
      </c>
      <c r="C463" t="str">
        <f>"9782759210305"</f>
        <v>9782759210305</v>
      </c>
      <c r="D463" t="str">
        <f>"9782759210312"</f>
        <v>9782759210312</v>
      </c>
      <c r="E463" t="s">
        <v>2434</v>
      </c>
      <c r="F463" s="1">
        <v>40898</v>
      </c>
      <c r="G463" t="s">
        <v>2452</v>
      </c>
      <c r="H463" t="s">
        <v>64</v>
      </c>
      <c r="L463" t="s">
        <v>1279</v>
      </c>
      <c r="M463" t="s">
        <v>2453</v>
      </c>
    </row>
    <row r="464" spans="1:13" x14ac:dyDescent="0.25">
      <c r="A464">
        <v>3398850</v>
      </c>
      <c r="B464" t="s">
        <v>2454</v>
      </c>
      <c r="C464" t="str">
        <f>"9782759210398"</f>
        <v>9782759210398</v>
      </c>
      <c r="D464" t="str">
        <f>"9782759210404"</f>
        <v>9782759210404</v>
      </c>
      <c r="E464" t="s">
        <v>2434</v>
      </c>
      <c r="F464" s="1">
        <v>40709</v>
      </c>
      <c r="G464" t="s">
        <v>2455</v>
      </c>
      <c r="H464" t="s">
        <v>1283</v>
      </c>
      <c r="L464" t="s">
        <v>1279</v>
      </c>
      <c r="M464" t="s">
        <v>2456</v>
      </c>
    </row>
    <row r="465" spans="1:13" x14ac:dyDescent="0.25">
      <c r="A465">
        <v>3398886</v>
      </c>
      <c r="B465" t="s">
        <v>2457</v>
      </c>
      <c r="C465" t="str">
        <f>"9782759218585"</f>
        <v>9782759218585</v>
      </c>
      <c r="D465" t="str">
        <f>"9782759218592"</f>
        <v>9782759218592</v>
      </c>
      <c r="E465" t="s">
        <v>2434</v>
      </c>
      <c r="F465" s="1">
        <v>40909</v>
      </c>
      <c r="G465" t="s">
        <v>2458</v>
      </c>
      <c r="H465" t="s">
        <v>1283</v>
      </c>
      <c r="L465" t="s">
        <v>1279</v>
      </c>
      <c r="M465" t="s">
        <v>2459</v>
      </c>
    </row>
    <row r="466" spans="1:13" x14ac:dyDescent="0.25">
      <c r="A466">
        <v>3398910</v>
      </c>
      <c r="B466" t="s">
        <v>2460</v>
      </c>
      <c r="C466" t="str">
        <f>"9782853624312"</f>
        <v>9782853624312</v>
      </c>
      <c r="D466" t="str">
        <f>"9782759207077"</f>
        <v>9782759207077</v>
      </c>
      <c r="E466" t="s">
        <v>2434</v>
      </c>
      <c r="F466" s="1">
        <v>34700</v>
      </c>
      <c r="G466" t="s">
        <v>2461</v>
      </c>
      <c r="H466" t="s">
        <v>64</v>
      </c>
      <c r="L466" t="s">
        <v>20</v>
      </c>
      <c r="M466" t="s">
        <v>2462</v>
      </c>
    </row>
    <row r="467" spans="1:13" x14ac:dyDescent="0.25">
      <c r="A467">
        <v>3398914</v>
      </c>
      <c r="B467" t="s">
        <v>2463</v>
      </c>
      <c r="C467" t="str">
        <f>"9782853624084"</f>
        <v>9782853624084</v>
      </c>
      <c r="D467" t="str">
        <f>"9782759207015"</f>
        <v>9782759207015</v>
      </c>
      <c r="E467" t="s">
        <v>2434</v>
      </c>
      <c r="F467" s="1">
        <v>34700</v>
      </c>
      <c r="G467" t="s">
        <v>2464</v>
      </c>
      <c r="H467" t="s">
        <v>83</v>
      </c>
      <c r="L467" t="s">
        <v>1279</v>
      </c>
      <c r="M467" t="s">
        <v>2465</v>
      </c>
    </row>
    <row r="468" spans="1:13" x14ac:dyDescent="0.25">
      <c r="A468">
        <v>3398921</v>
      </c>
      <c r="B468" t="s">
        <v>2466</v>
      </c>
      <c r="C468" t="str">
        <f>"9782853623674"</f>
        <v>9782853623674</v>
      </c>
      <c r="D468" t="str">
        <f>"9782759206964"</f>
        <v>9782759206964</v>
      </c>
      <c r="E468" t="s">
        <v>2434</v>
      </c>
      <c r="F468" s="1">
        <v>34335</v>
      </c>
      <c r="G468" t="s">
        <v>2467</v>
      </c>
      <c r="H468" t="s">
        <v>64</v>
      </c>
      <c r="I468" t="s">
        <v>2468</v>
      </c>
      <c r="K468" t="s">
        <v>2469</v>
      </c>
      <c r="L468" t="s">
        <v>1279</v>
      </c>
      <c r="M468" t="s">
        <v>2470</v>
      </c>
    </row>
    <row r="469" spans="1:13" x14ac:dyDescent="0.25">
      <c r="A469">
        <v>3398926</v>
      </c>
      <c r="B469" t="s">
        <v>2471</v>
      </c>
      <c r="C469" t="str">
        <f>"9782853622639"</f>
        <v>9782853622639</v>
      </c>
      <c r="D469" t="str">
        <f>"9782759206902"</f>
        <v>9782759206902</v>
      </c>
      <c r="E469" t="s">
        <v>2434</v>
      </c>
      <c r="F469" s="1">
        <v>33695</v>
      </c>
      <c r="G469" t="s">
        <v>2472</v>
      </c>
      <c r="H469" t="s">
        <v>83</v>
      </c>
      <c r="L469" t="s">
        <v>1279</v>
      </c>
      <c r="M469" t="s">
        <v>2473</v>
      </c>
    </row>
    <row r="470" spans="1:13" x14ac:dyDescent="0.25">
      <c r="A470">
        <v>3398928</v>
      </c>
      <c r="B470" t="s">
        <v>2474</v>
      </c>
      <c r="C470" t="str">
        <f>"9782857447979"</f>
        <v>9782857447979</v>
      </c>
      <c r="D470" t="str">
        <f>"9782759207329"</f>
        <v>9782759207329</v>
      </c>
      <c r="E470" t="s">
        <v>2434</v>
      </c>
      <c r="F470" s="1">
        <v>35348</v>
      </c>
      <c r="G470" t="s">
        <v>2475</v>
      </c>
      <c r="H470" t="s">
        <v>83</v>
      </c>
      <c r="L470" t="s">
        <v>1279</v>
      </c>
      <c r="M470" t="s">
        <v>2476</v>
      </c>
    </row>
    <row r="471" spans="1:13" x14ac:dyDescent="0.25">
      <c r="A471">
        <v>3398932</v>
      </c>
      <c r="B471" t="s">
        <v>2477</v>
      </c>
      <c r="C471" t="str">
        <f>"9782853624510"</f>
        <v>9782853624510</v>
      </c>
      <c r="D471" t="str">
        <f>"9782759207084"</f>
        <v>9782759207084</v>
      </c>
      <c r="E471" t="s">
        <v>2434</v>
      </c>
      <c r="F471" s="1">
        <v>35431</v>
      </c>
      <c r="G471" t="s">
        <v>2478</v>
      </c>
      <c r="H471" t="s">
        <v>2479</v>
      </c>
      <c r="L471" t="s">
        <v>1279</v>
      </c>
      <c r="M471" t="s">
        <v>2480</v>
      </c>
    </row>
    <row r="472" spans="1:13" x14ac:dyDescent="0.25">
      <c r="A472">
        <v>3398933</v>
      </c>
      <c r="B472" t="s">
        <v>2481</v>
      </c>
      <c r="C472" t="str">
        <f>"9782853625531"</f>
        <v>9782853625531</v>
      </c>
      <c r="D472" t="str">
        <f>"9782759207251"</f>
        <v>9782759207251</v>
      </c>
      <c r="E472" t="s">
        <v>2434</v>
      </c>
      <c r="F472" s="1">
        <v>36526</v>
      </c>
      <c r="G472" t="s">
        <v>2482</v>
      </c>
      <c r="H472" t="s">
        <v>83</v>
      </c>
      <c r="L472" t="s">
        <v>1279</v>
      </c>
      <c r="M472" t="s">
        <v>2483</v>
      </c>
    </row>
    <row r="473" spans="1:13" x14ac:dyDescent="0.25">
      <c r="A473">
        <v>3398934</v>
      </c>
      <c r="B473" t="s">
        <v>2484</v>
      </c>
      <c r="C473" t="str">
        <f>"9782853624121"</f>
        <v>9782853624121</v>
      </c>
      <c r="D473" t="str">
        <f>"9782759207022"</f>
        <v>9782759207022</v>
      </c>
      <c r="E473" t="s">
        <v>2434</v>
      </c>
      <c r="F473" s="1">
        <v>34700</v>
      </c>
      <c r="G473" t="s">
        <v>2485</v>
      </c>
      <c r="H473" t="s">
        <v>83</v>
      </c>
      <c r="L473" t="s">
        <v>1279</v>
      </c>
      <c r="M473" t="s">
        <v>2486</v>
      </c>
    </row>
    <row r="474" spans="1:13" x14ac:dyDescent="0.25">
      <c r="A474">
        <v>3398942</v>
      </c>
      <c r="B474" t="s">
        <v>2487</v>
      </c>
      <c r="C474" t="str">
        <f>"9782853623957"</f>
        <v>9782853623957</v>
      </c>
      <c r="D474" t="str">
        <f>"9782759206971"</f>
        <v>9782759206971</v>
      </c>
      <c r="E474" t="s">
        <v>2434</v>
      </c>
      <c r="F474" s="1">
        <v>34700</v>
      </c>
      <c r="G474" t="s">
        <v>2488</v>
      </c>
      <c r="H474" t="s">
        <v>83</v>
      </c>
      <c r="L474" t="s">
        <v>1279</v>
      </c>
      <c r="M474" t="s">
        <v>2489</v>
      </c>
    </row>
    <row r="475" spans="1:13" x14ac:dyDescent="0.25">
      <c r="A475">
        <v>3398944</v>
      </c>
      <c r="B475" t="s">
        <v>2490</v>
      </c>
      <c r="C475" t="str">
        <f>"9782853624732"</f>
        <v>9782853624732</v>
      </c>
      <c r="D475" t="str">
        <f>"9782759207107"</f>
        <v>9782759207107</v>
      </c>
      <c r="E475" t="s">
        <v>2434</v>
      </c>
      <c r="F475" s="1">
        <v>35431</v>
      </c>
      <c r="G475" t="s">
        <v>2491</v>
      </c>
      <c r="H475" t="s">
        <v>83</v>
      </c>
      <c r="L475" t="s">
        <v>1279</v>
      </c>
      <c r="M475" t="s">
        <v>2492</v>
      </c>
    </row>
    <row r="476" spans="1:13" x14ac:dyDescent="0.25">
      <c r="A476">
        <v>3398954</v>
      </c>
      <c r="B476" t="s">
        <v>2493</v>
      </c>
      <c r="C476" t="str">
        <f>"9782853622363"</f>
        <v>9782853622363</v>
      </c>
      <c r="D476" t="str">
        <f>"9782759206896"</f>
        <v>9782759206896</v>
      </c>
      <c r="E476" t="s">
        <v>2434</v>
      </c>
      <c r="F476" s="1">
        <v>36469</v>
      </c>
      <c r="G476" t="s">
        <v>2494</v>
      </c>
      <c r="H476" t="s">
        <v>2479</v>
      </c>
      <c r="L476" t="s">
        <v>1279</v>
      </c>
      <c r="M476" t="s">
        <v>2495</v>
      </c>
    </row>
    <row r="477" spans="1:13" x14ac:dyDescent="0.25">
      <c r="A477">
        <v>3398960</v>
      </c>
      <c r="B477" t="s">
        <v>2496</v>
      </c>
      <c r="C477" t="str">
        <f>"9782853625128"</f>
        <v>9782853625128</v>
      </c>
      <c r="D477" t="str">
        <f>"9782759207176"</f>
        <v>9782759207176</v>
      </c>
      <c r="E477" t="s">
        <v>2434</v>
      </c>
      <c r="F477" s="1">
        <v>36469</v>
      </c>
      <c r="G477" t="s">
        <v>2497</v>
      </c>
      <c r="H477" t="s">
        <v>83</v>
      </c>
      <c r="L477" t="s">
        <v>1279</v>
      </c>
      <c r="M477" t="s">
        <v>2498</v>
      </c>
    </row>
    <row r="478" spans="1:13" x14ac:dyDescent="0.25">
      <c r="A478">
        <v>3398963</v>
      </c>
      <c r="B478" t="s">
        <v>2499</v>
      </c>
      <c r="C478" t="str">
        <f>"9782759207565"</f>
        <v>9782759207565</v>
      </c>
      <c r="D478" t="str">
        <f>"9782759207572"</f>
        <v>9782759207572</v>
      </c>
      <c r="E478" t="s">
        <v>2434</v>
      </c>
      <c r="F478" s="1">
        <v>40360</v>
      </c>
      <c r="G478" t="s">
        <v>2500</v>
      </c>
      <c r="H478" t="s">
        <v>41</v>
      </c>
      <c r="I478" t="s">
        <v>2501</v>
      </c>
      <c r="J478">
        <v>338.476640944</v>
      </c>
      <c r="K478" t="s">
        <v>2502</v>
      </c>
      <c r="L478" t="s">
        <v>1279</v>
      </c>
      <c r="M478" t="s">
        <v>2503</v>
      </c>
    </row>
    <row r="479" spans="1:13" x14ac:dyDescent="0.25">
      <c r="A479">
        <v>3398964</v>
      </c>
      <c r="B479" t="s">
        <v>2504</v>
      </c>
      <c r="C479" t="str">
        <f>"9782853624756"</f>
        <v>9782853624756</v>
      </c>
      <c r="D479" t="str">
        <f>"9782759207114"</f>
        <v>9782759207114</v>
      </c>
      <c r="E479" t="s">
        <v>2434</v>
      </c>
      <c r="F479" s="1">
        <v>35431</v>
      </c>
      <c r="G479" t="s">
        <v>2505</v>
      </c>
      <c r="H479" t="s">
        <v>83</v>
      </c>
      <c r="L479" t="s">
        <v>20</v>
      </c>
      <c r="M479" t="s">
        <v>2506</v>
      </c>
    </row>
    <row r="480" spans="1:13" x14ac:dyDescent="0.25">
      <c r="A480">
        <v>3398968</v>
      </c>
      <c r="B480" t="s">
        <v>2507</v>
      </c>
      <c r="C480" t="str">
        <f>"9782853622646"</f>
        <v>9782853622646</v>
      </c>
      <c r="D480" t="str">
        <f>"9782759206919"</f>
        <v>9782759206919</v>
      </c>
      <c r="E480" t="s">
        <v>2434</v>
      </c>
      <c r="F480" s="1">
        <v>33604</v>
      </c>
      <c r="G480" t="s">
        <v>2508</v>
      </c>
      <c r="H480" t="s">
        <v>1283</v>
      </c>
      <c r="L480" t="s">
        <v>1279</v>
      </c>
      <c r="M480" t="s">
        <v>2509</v>
      </c>
    </row>
    <row r="481" spans="1:13" x14ac:dyDescent="0.25">
      <c r="A481">
        <v>3398972</v>
      </c>
      <c r="B481" t="s">
        <v>2510</v>
      </c>
      <c r="C481" t="str">
        <f>"9782759206209"</f>
        <v>9782759206209</v>
      </c>
      <c r="D481" t="str">
        <f>"9782759206216"</f>
        <v>9782759206216</v>
      </c>
      <c r="E481" t="s">
        <v>2434</v>
      </c>
      <c r="F481" s="1">
        <v>40284</v>
      </c>
      <c r="G481" t="s">
        <v>2511</v>
      </c>
      <c r="H481" t="s">
        <v>64</v>
      </c>
      <c r="L481" t="s">
        <v>1279</v>
      </c>
      <c r="M481" t="s">
        <v>2512</v>
      </c>
    </row>
    <row r="482" spans="1:13" x14ac:dyDescent="0.25">
      <c r="A482">
        <v>3398977</v>
      </c>
      <c r="B482" t="s">
        <v>2513</v>
      </c>
      <c r="C482" t="str">
        <f>"9782853625616"</f>
        <v>9782853625616</v>
      </c>
      <c r="D482" t="str">
        <f>"9782759207268"</f>
        <v>9782759207268</v>
      </c>
      <c r="E482" t="s">
        <v>2434</v>
      </c>
      <c r="F482" s="1">
        <v>37068</v>
      </c>
      <c r="G482" t="s">
        <v>2514</v>
      </c>
      <c r="H482" t="s">
        <v>1283</v>
      </c>
      <c r="L482" t="s">
        <v>1279</v>
      </c>
      <c r="M482" t="s">
        <v>2515</v>
      </c>
    </row>
    <row r="483" spans="1:13" x14ac:dyDescent="0.25">
      <c r="A483">
        <v>3398978</v>
      </c>
      <c r="B483" t="s">
        <v>2516</v>
      </c>
      <c r="C483" t="str">
        <f>"9782853625142"</f>
        <v>9782853625142</v>
      </c>
      <c r="D483" t="str">
        <f>"9782759207183"</f>
        <v>9782759207183</v>
      </c>
      <c r="E483" t="s">
        <v>2434</v>
      </c>
      <c r="F483" s="1">
        <v>36161</v>
      </c>
      <c r="G483" t="s">
        <v>2517</v>
      </c>
      <c r="H483" t="s">
        <v>83</v>
      </c>
      <c r="L483" t="s">
        <v>1279</v>
      </c>
      <c r="M483" t="s">
        <v>2518</v>
      </c>
    </row>
    <row r="484" spans="1:13" x14ac:dyDescent="0.25">
      <c r="A484">
        <v>3398979</v>
      </c>
      <c r="B484" t="s">
        <v>2519</v>
      </c>
      <c r="C484" t="str">
        <f>"9782853624138"</f>
        <v>9782853624138</v>
      </c>
      <c r="D484" t="str">
        <f>"9782759207039"</f>
        <v>9782759207039</v>
      </c>
      <c r="E484" t="s">
        <v>2434</v>
      </c>
      <c r="F484" s="1">
        <v>34700</v>
      </c>
      <c r="G484" t="s">
        <v>2520</v>
      </c>
      <c r="H484" t="s">
        <v>2521</v>
      </c>
      <c r="L484" t="s">
        <v>1279</v>
      </c>
      <c r="M484" t="s">
        <v>2522</v>
      </c>
    </row>
    <row r="485" spans="1:13" x14ac:dyDescent="0.25">
      <c r="A485">
        <v>3398981</v>
      </c>
      <c r="B485" t="s">
        <v>2523</v>
      </c>
      <c r="C485" t="str">
        <f>"9782853624879"</f>
        <v>9782853624879</v>
      </c>
      <c r="D485" t="str">
        <f>"9782759207121"</f>
        <v>9782759207121</v>
      </c>
      <c r="E485" t="s">
        <v>2434</v>
      </c>
      <c r="F485" s="1">
        <v>35431</v>
      </c>
      <c r="G485" t="s">
        <v>2524</v>
      </c>
      <c r="H485" t="s">
        <v>83</v>
      </c>
      <c r="L485" t="s">
        <v>1279</v>
      </c>
      <c r="M485" t="s">
        <v>2525</v>
      </c>
    </row>
    <row r="486" spans="1:13" x14ac:dyDescent="0.25">
      <c r="A486">
        <v>3398986</v>
      </c>
      <c r="B486" t="s">
        <v>2526</v>
      </c>
      <c r="C486" t="str">
        <f>"9782853623988"</f>
        <v>9782853623988</v>
      </c>
      <c r="D486" t="str">
        <f>"9782759206988"</f>
        <v>9782759206988</v>
      </c>
      <c r="E486" t="s">
        <v>2434</v>
      </c>
      <c r="F486" s="1">
        <v>34335</v>
      </c>
      <c r="G486" t="s">
        <v>2527</v>
      </c>
      <c r="H486" t="s">
        <v>2528</v>
      </c>
      <c r="I486" t="s">
        <v>2529</v>
      </c>
      <c r="K486" t="s">
        <v>2530</v>
      </c>
      <c r="L486" t="s">
        <v>1279</v>
      </c>
      <c r="M486" t="s">
        <v>2531</v>
      </c>
    </row>
    <row r="487" spans="1:13" x14ac:dyDescent="0.25">
      <c r="A487">
        <v>3398990</v>
      </c>
      <c r="B487" t="s">
        <v>2532</v>
      </c>
      <c r="C487" t="str">
        <f>"9782853622981"</f>
        <v>9782853622981</v>
      </c>
      <c r="D487" t="str">
        <f>"9782759206926"</f>
        <v>9782759206926</v>
      </c>
      <c r="E487" t="s">
        <v>2434</v>
      </c>
      <c r="F487" s="1">
        <v>33604</v>
      </c>
      <c r="G487" t="s">
        <v>2533</v>
      </c>
      <c r="H487" t="s">
        <v>2534</v>
      </c>
      <c r="L487" t="s">
        <v>1279</v>
      </c>
      <c r="M487" t="s">
        <v>2535</v>
      </c>
    </row>
    <row r="488" spans="1:13" x14ac:dyDescent="0.25">
      <c r="A488">
        <v>3398997</v>
      </c>
      <c r="B488" t="s">
        <v>2536</v>
      </c>
      <c r="C488" t="str">
        <f>"9782853625166"</f>
        <v>9782853625166</v>
      </c>
      <c r="D488" t="str">
        <f>"9782759207190"</f>
        <v>9782759207190</v>
      </c>
      <c r="E488" t="s">
        <v>2434</v>
      </c>
      <c r="F488" s="1">
        <v>36161</v>
      </c>
      <c r="G488" t="s">
        <v>2537</v>
      </c>
      <c r="H488" t="s">
        <v>1283</v>
      </c>
      <c r="I488" t="s">
        <v>2538</v>
      </c>
      <c r="K488" t="s">
        <v>2539</v>
      </c>
      <c r="L488" t="s">
        <v>20</v>
      </c>
      <c r="M488" t="s">
        <v>2540</v>
      </c>
    </row>
    <row r="489" spans="1:13" x14ac:dyDescent="0.25">
      <c r="A489">
        <v>3399000</v>
      </c>
      <c r="B489" t="s">
        <v>2541</v>
      </c>
      <c r="C489" t="str">
        <f>""</f>
        <v/>
      </c>
      <c r="D489" t="str">
        <f>"9782759207213"</f>
        <v>9782759207213</v>
      </c>
      <c r="E489" t="s">
        <v>2434</v>
      </c>
      <c r="F489" s="1">
        <v>36526</v>
      </c>
      <c r="G489" t="s">
        <v>2542</v>
      </c>
      <c r="H489" t="s">
        <v>83</v>
      </c>
      <c r="L489" t="s">
        <v>20</v>
      </c>
      <c r="M489" t="s">
        <v>2543</v>
      </c>
    </row>
    <row r="490" spans="1:13" x14ac:dyDescent="0.25">
      <c r="A490">
        <v>3399006</v>
      </c>
      <c r="B490" t="s">
        <v>2544</v>
      </c>
      <c r="C490" t="str">
        <f>"9782853624008"</f>
        <v>9782853624008</v>
      </c>
      <c r="D490" t="str">
        <f>"9782759206995"</f>
        <v>9782759206995</v>
      </c>
      <c r="E490" t="s">
        <v>2434</v>
      </c>
      <c r="F490" s="1">
        <v>36469</v>
      </c>
      <c r="G490" t="s">
        <v>2545</v>
      </c>
      <c r="H490" t="s">
        <v>83</v>
      </c>
      <c r="L490" t="s">
        <v>1279</v>
      </c>
      <c r="M490" t="s">
        <v>2546</v>
      </c>
    </row>
    <row r="491" spans="1:13" x14ac:dyDescent="0.25">
      <c r="A491">
        <v>3399008</v>
      </c>
      <c r="B491" t="s">
        <v>2547</v>
      </c>
      <c r="C491" t="str">
        <f>"9782853623025"</f>
        <v>9782853623025</v>
      </c>
      <c r="D491" t="str">
        <f>"9782759206933"</f>
        <v>9782759206933</v>
      </c>
      <c r="E491" t="s">
        <v>2434</v>
      </c>
      <c r="F491" s="1">
        <v>36469</v>
      </c>
      <c r="G491" t="s">
        <v>2548</v>
      </c>
      <c r="H491" t="s">
        <v>83</v>
      </c>
      <c r="L491" t="s">
        <v>1279</v>
      </c>
      <c r="M491" t="s">
        <v>2549</v>
      </c>
    </row>
    <row r="492" spans="1:13" x14ac:dyDescent="0.25">
      <c r="A492">
        <v>3399010</v>
      </c>
      <c r="B492" t="s">
        <v>2550</v>
      </c>
      <c r="C492" t="str">
        <f>"9782876146488"</f>
        <v>9782876146488</v>
      </c>
      <c r="D492" t="str">
        <f>"9782759207589"</f>
        <v>9782759207589</v>
      </c>
      <c r="E492" t="s">
        <v>2434</v>
      </c>
      <c r="F492" s="1">
        <v>39198</v>
      </c>
      <c r="G492" t="s">
        <v>2551</v>
      </c>
      <c r="H492" t="s">
        <v>1283</v>
      </c>
      <c r="I492" t="s">
        <v>2552</v>
      </c>
      <c r="K492" t="s">
        <v>2553</v>
      </c>
      <c r="L492" t="s">
        <v>20</v>
      </c>
      <c r="M492" t="s">
        <v>2554</v>
      </c>
    </row>
    <row r="493" spans="1:13" x14ac:dyDescent="0.25">
      <c r="A493">
        <v>3399017</v>
      </c>
      <c r="B493" t="s">
        <v>2555</v>
      </c>
      <c r="C493" t="str">
        <f>"9782853624176"</f>
        <v>9782853624176</v>
      </c>
      <c r="D493" t="str">
        <f>"9782759207053"</f>
        <v>9782759207053</v>
      </c>
      <c r="E493" t="s">
        <v>2434</v>
      </c>
      <c r="F493" s="1">
        <v>34700</v>
      </c>
      <c r="G493" t="s">
        <v>2472</v>
      </c>
      <c r="H493" t="s">
        <v>83</v>
      </c>
      <c r="L493" t="s">
        <v>1279</v>
      </c>
      <c r="M493" t="s">
        <v>2556</v>
      </c>
    </row>
    <row r="494" spans="1:13" x14ac:dyDescent="0.25">
      <c r="A494">
        <v>3399025</v>
      </c>
      <c r="B494" t="s">
        <v>2557</v>
      </c>
      <c r="C494" t="str">
        <f>"9782853623216"</f>
        <v>9782853623216</v>
      </c>
      <c r="D494" t="str">
        <f>"9782759206940"</f>
        <v>9782759206940</v>
      </c>
      <c r="E494" t="s">
        <v>2434</v>
      </c>
      <c r="F494" s="1">
        <v>33970</v>
      </c>
      <c r="G494" t="s">
        <v>2558</v>
      </c>
      <c r="H494" t="s">
        <v>2528</v>
      </c>
      <c r="I494" t="s">
        <v>2559</v>
      </c>
      <c r="K494" t="s">
        <v>2560</v>
      </c>
      <c r="L494" t="s">
        <v>1279</v>
      </c>
      <c r="M494" t="s">
        <v>2561</v>
      </c>
    </row>
    <row r="495" spans="1:13" x14ac:dyDescent="0.25">
      <c r="A495">
        <v>3399029</v>
      </c>
      <c r="B495" t="s">
        <v>2562</v>
      </c>
      <c r="C495" t="str">
        <f>"9782853624930"</f>
        <v>9782853624930</v>
      </c>
      <c r="D495" t="str">
        <f>"9782759207138"</f>
        <v>9782759207138</v>
      </c>
      <c r="E495" t="s">
        <v>2434</v>
      </c>
      <c r="F495" s="1">
        <v>35796</v>
      </c>
      <c r="G495" t="s">
        <v>2461</v>
      </c>
      <c r="H495" t="s">
        <v>83</v>
      </c>
      <c r="L495" t="s">
        <v>20</v>
      </c>
      <c r="M495" t="s">
        <v>2563</v>
      </c>
    </row>
    <row r="496" spans="1:13" x14ac:dyDescent="0.25">
      <c r="A496">
        <v>3399032</v>
      </c>
      <c r="B496" t="s">
        <v>2564</v>
      </c>
      <c r="C496" t="str">
        <f>"9782853625937"</f>
        <v>9782853625937</v>
      </c>
      <c r="D496" t="str">
        <f>"9782759207305"</f>
        <v>9782759207305</v>
      </c>
      <c r="E496" t="s">
        <v>2434</v>
      </c>
      <c r="F496" s="1">
        <v>37418</v>
      </c>
      <c r="G496" t="s">
        <v>2565</v>
      </c>
      <c r="H496" t="s">
        <v>83</v>
      </c>
      <c r="L496" t="s">
        <v>1279</v>
      </c>
      <c r="M496" t="s">
        <v>2566</v>
      </c>
    </row>
    <row r="497" spans="1:13" x14ac:dyDescent="0.25">
      <c r="A497">
        <v>3399040</v>
      </c>
      <c r="B497" t="s">
        <v>2567</v>
      </c>
      <c r="C497" t="str">
        <f>"9782853622066"</f>
        <v>9782853622066</v>
      </c>
      <c r="D497" t="str">
        <f>"9782759206858"</f>
        <v>9782759206858</v>
      </c>
      <c r="E497" t="s">
        <v>2434</v>
      </c>
      <c r="F497" s="1">
        <v>34177</v>
      </c>
      <c r="G497" t="s">
        <v>2568</v>
      </c>
      <c r="H497" t="s">
        <v>2569</v>
      </c>
      <c r="I497" t="s">
        <v>2570</v>
      </c>
      <c r="K497" t="s">
        <v>2571</v>
      </c>
      <c r="L497" t="s">
        <v>1279</v>
      </c>
      <c r="M497" t="s">
        <v>2572</v>
      </c>
    </row>
    <row r="498" spans="1:13" x14ac:dyDescent="0.25">
      <c r="A498">
        <v>3399042</v>
      </c>
      <c r="B498" t="s">
        <v>2573</v>
      </c>
      <c r="C498" t="str">
        <f>"9782759200795"</f>
        <v>9782759200795</v>
      </c>
      <c r="D498" t="str">
        <f>"9782759206780"</f>
        <v>9782759206780</v>
      </c>
      <c r="E498" t="s">
        <v>2434</v>
      </c>
      <c r="F498" s="1">
        <v>39463</v>
      </c>
      <c r="G498" t="s">
        <v>2574</v>
      </c>
      <c r="H498" t="s">
        <v>2575</v>
      </c>
      <c r="L498" t="s">
        <v>1279</v>
      </c>
      <c r="M498" t="s">
        <v>2576</v>
      </c>
    </row>
    <row r="499" spans="1:13" x14ac:dyDescent="0.25">
      <c r="A499">
        <v>3399052</v>
      </c>
      <c r="B499" t="s">
        <v>2577</v>
      </c>
      <c r="C499" t="str">
        <f>"9782853622318"</f>
        <v>9782853622318</v>
      </c>
      <c r="D499" t="str">
        <f>"9782759206872"</f>
        <v>9782759206872</v>
      </c>
      <c r="E499" t="s">
        <v>2434</v>
      </c>
      <c r="F499" s="1">
        <v>33239</v>
      </c>
      <c r="G499" t="s">
        <v>2578</v>
      </c>
      <c r="H499" t="s">
        <v>2579</v>
      </c>
      <c r="L499" t="s">
        <v>1279</v>
      </c>
      <c r="M499" t="s">
        <v>2580</v>
      </c>
    </row>
    <row r="500" spans="1:13" x14ac:dyDescent="0.25">
      <c r="A500">
        <v>3399059</v>
      </c>
      <c r="B500" t="s">
        <v>2581</v>
      </c>
      <c r="C500" t="str">
        <f>"9782853625043"</f>
        <v>9782853625043</v>
      </c>
      <c r="D500" t="str">
        <f>"9782759207152"</f>
        <v>9782759207152</v>
      </c>
      <c r="E500" t="s">
        <v>2434</v>
      </c>
      <c r="F500" s="1">
        <v>35796</v>
      </c>
      <c r="G500" t="s">
        <v>2475</v>
      </c>
      <c r="H500" t="s">
        <v>1056</v>
      </c>
      <c r="I500" t="s">
        <v>2582</v>
      </c>
      <c r="J500" t="s">
        <v>2583</v>
      </c>
      <c r="K500" t="s">
        <v>2584</v>
      </c>
      <c r="L500" t="s">
        <v>1279</v>
      </c>
      <c r="M500" t="s">
        <v>2585</v>
      </c>
    </row>
    <row r="501" spans="1:13" x14ac:dyDescent="0.25">
      <c r="A501">
        <v>3399066</v>
      </c>
      <c r="B501" t="s">
        <v>2586</v>
      </c>
      <c r="C501" t="str">
        <f>"9782853623520"</f>
        <v>9782853623520</v>
      </c>
      <c r="D501" t="str">
        <f>"9782759206957"</f>
        <v>9782759206957</v>
      </c>
      <c r="E501" t="s">
        <v>2434</v>
      </c>
      <c r="F501" s="1">
        <v>34335</v>
      </c>
      <c r="G501" t="s">
        <v>2587</v>
      </c>
      <c r="H501" t="s">
        <v>2588</v>
      </c>
      <c r="L501" t="s">
        <v>1279</v>
      </c>
      <c r="M501" t="s">
        <v>2589</v>
      </c>
    </row>
    <row r="502" spans="1:13" x14ac:dyDescent="0.25">
      <c r="A502">
        <v>3399071</v>
      </c>
      <c r="B502" t="s">
        <v>2590</v>
      </c>
      <c r="C502" t="str">
        <f>"9782759203116"</f>
        <v>9782759203116</v>
      </c>
      <c r="D502" t="str">
        <f>"9782759203123"</f>
        <v>9782759203123</v>
      </c>
      <c r="E502" t="s">
        <v>2434</v>
      </c>
      <c r="F502" s="1">
        <v>39969</v>
      </c>
      <c r="G502" t="s">
        <v>2591</v>
      </c>
      <c r="H502" t="s">
        <v>83</v>
      </c>
      <c r="I502" t="s">
        <v>2592</v>
      </c>
      <c r="K502" t="s">
        <v>2593</v>
      </c>
      <c r="L502" t="s">
        <v>1279</v>
      </c>
      <c r="M502" t="s">
        <v>2594</v>
      </c>
    </row>
    <row r="503" spans="1:13" x14ac:dyDescent="0.25">
      <c r="A503">
        <v>3399118</v>
      </c>
      <c r="B503" t="s">
        <v>2595</v>
      </c>
      <c r="C503" t="str">
        <f>"9782759205103"</f>
        <v>9782759205103</v>
      </c>
      <c r="D503" t="str">
        <f>"9782759205110"</f>
        <v>9782759205110</v>
      </c>
      <c r="E503" t="s">
        <v>2434</v>
      </c>
      <c r="F503" s="1">
        <v>40520</v>
      </c>
      <c r="G503" t="s">
        <v>2596</v>
      </c>
      <c r="H503" t="s">
        <v>2597</v>
      </c>
      <c r="I503" t="s">
        <v>2598</v>
      </c>
      <c r="K503" t="s">
        <v>2599</v>
      </c>
      <c r="L503" t="s">
        <v>1279</v>
      </c>
      <c r="M503" t="s">
        <v>2600</v>
      </c>
    </row>
    <row r="504" spans="1:13" x14ac:dyDescent="0.25">
      <c r="A504">
        <v>3399154</v>
      </c>
      <c r="B504" t="s">
        <v>2601</v>
      </c>
      <c r="C504" t="str">
        <f>"9782759203840"</f>
        <v>9782759203840</v>
      </c>
      <c r="D504" t="str">
        <f>"9782759203857"</f>
        <v>9782759203857</v>
      </c>
      <c r="E504" t="s">
        <v>2434</v>
      </c>
      <c r="F504" s="1">
        <v>40197</v>
      </c>
      <c r="G504" t="s">
        <v>2602</v>
      </c>
      <c r="H504" t="s">
        <v>2603</v>
      </c>
      <c r="I504" t="s">
        <v>2604</v>
      </c>
      <c r="K504" t="s">
        <v>2605</v>
      </c>
      <c r="L504" t="s">
        <v>20</v>
      </c>
      <c r="M504" t="s">
        <v>2606</v>
      </c>
    </row>
    <row r="505" spans="1:13" x14ac:dyDescent="0.25">
      <c r="A505">
        <v>3399169</v>
      </c>
      <c r="B505" t="s">
        <v>2607</v>
      </c>
      <c r="C505" t="str">
        <f>"9782759203451"</f>
        <v>9782759203451</v>
      </c>
      <c r="D505" t="str">
        <f>"9782759203468"</f>
        <v>9782759203468</v>
      </c>
      <c r="E505" t="s">
        <v>2434</v>
      </c>
      <c r="F505" s="1">
        <v>40245</v>
      </c>
      <c r="G505" t="s">
        <v>2608</v>
      </c>
      <c r="H505" t="s">
        <v>1283</v>
      </c>
      <c r="I505" t="s">
        <v>2609</v>
      </c>
      <c r="K505" t="s">
        <v>2610</v>
      </c>
      <c r="L505" t="s">
        <v>1279</v>
      </c>
      <c r="M505" t="s">
        <v>2611</v>
      </c>
    </row>
    <row r="506" spans="1:13" x14ac:dyDescent="0.25">
      <c r="A506">
        <v>3399170</v>
      </c>
      <c r="B506" t="s">
        <v>2612</v>
      </c>
      <c r="C506" t="str">
        <f>"9782759203222"</f>
        <v>9782759203222</v>
      </c>
      <c r="D506" t="str">
        <f>"9782759203239"</f>
        <v>9782759203239</v>
      </c>
      <c r="E506" t="s">
        <v>2434</v>
      </c>
      <c r="F506" s="1">
        <v>40004</v>
      </c>
      <c r="G506" t="s">
        <v>2613</v>
      </c>
      <c r="H506" t="s">
        <v>2614</v>
      </c>
      <c r="I506" t="s">
        <v>2615</v>
      </c>
      <c r="K506" t="s">
        <v>2616</v>
      </c>
      <c r="L506" t="s">
        <v>1279</v>
      </c>
      <c r="M506" t="s">
        <v>2617</v>
      </c>
    </row>
    <row r="507" spans="1:13" x14ac:dyDescent="0.25">
      <c r="A507">
        <v>3399254</v>
      </c>
      <c r="B507" t="s">
        <v>2618</v>
      </c>
      <c r="C507" t="str">
        <f>"9782759200153"</f>
        <v>9782759200153</v>
      </c>
      <c r="D507" t="str">
        <f>"9782759200986"</f>
        <v>9782759200986</v>
      </c>
      <c r="E507" t="s">
        <v>2434</v>
      </c>
      <c r="F507" s="1">
        <v>39097</v>
      </c>
      <c r="G507" t="s">
        <v>2619</v>
      </c>
      <c r="H507" t="s">
        <v>64</v>
      </c>
      <c r="L507" t="s">
        <v>1279</v>
      </c>
      <c r="M507" t="s">
        <v>2620</v>
      </c>
    </row>
    <row r="508" spans="1:13" x14ac:dyDescent="0.25">
      <c r="A508">
        <v>3399276</v>
      </c>
      <c r="B508" t="s">
        <v>2621</v>
      </c>
      <c r="C508" t="str">
        <f>""</f>
        <v/>
      </c>
      <c r="D508" t="str">
        <f>"9782759215386"</f>
        <v>9782759215386</v>
      </c>
      <c r="E508" t="s">
        <v>2434</v>
      </c>
      <c r="F508" s="1">
        <v>39365</v>
      </c>
      <c r="G508" t="s">
        <v>2622</v>
      </c>
      <c r="H508" t="s">
        <v>2623</v>
      </c>
      <c r="I508" t="s">
        <v>2624</v>
      </c>
      <c r="K508" t="s">
        <v>2625</v>
      </c>
      <c r="L508" t="s">
        <v>20</v>
      </c>
      <c r="M508" t="s">
        <v>2626</v>
      </c>
    </row>
    <row r="509" spans="1:13" x14ac:dyDescent="0.25">
      <c r="A509">
        <v>3399297</v>
      </c>
      <c r="B509" t="s">
        <v>2627</v>
      </c>
      <c r="C509" t="str">
        <f>"9782759201839"</f>
        <v>9782759201839</v>
      </c>
      <c r="D509" t="str">
        <f>"9782759201846"</f>
        <v>9782759201846</v>
      </c>
      <c r="E509" t="s">
        <v>2434</v>
      </c>
      <c r="F509" s="1">
        <v>39856</v>
      </c>
      <c r="G509" t="s">
        <v>2628</v>
      </c>
      <c r="H509" t="s">
        <v>2528</v>
      </c>
      <c r="I509" t="s">
        <v>2629</v>
      </c>
      <c r="K509" t="s">
        <v>2630</v>
      </c>
      <c r="L509" t="s">
        <v>20</v>
      </c>
      <c r="M509" t="s">
        <v>2631</v>
      </c>
    </row>
    <row r="510" spans="1:13" x14ac:dyDescent="0.25">
      <c r="A510">
        <v>3399348</v>
      </c>
      <c r="B510" t="s">
        <v>2632</v>
      </c>
      <c r="C510" t="str">
        <f>"9782759200054"</f>
        <v>9782759200054</v>
      </c>
      <c r="D510" t="str">
        <f>"9782759200962"</f>
        <v>9782759200962</v>
      </c>
      <c r="E510" t="s">
        <v>2434</v>
      </c>
      <c r="F510" s="1">
        <v>39069</v>
      </c>
      <c r="G510" t="s">
        <v>2633</v>
      </c>
      <c r="H510" t="s">
        <v>1283</v>
      </c>
      <c r="I510" t="s">
        <v>2634</v>
      </c>
      <c r="K510" t="s">
        <v>2635</v>
      </c>
      <c r="L510" t="s">
        <v>1279</v>
      </c>
      <c r="M510" t="s">
        <v>2636</v>
      </c>
    </row>
    <row r="511" spans="1:13" x14ac:dyDescent="0.25">
      <c r="A511">
        <v>3399385</v>
      </c>
      <c r="B511" t="s">
        <v>2637</v>
      </c>
      <c r="C511" t="str">
        <f>"9782876146228"</f>
        <v>9782876146228</v>
      </c>
      <c r="D511" t="str">
        <f>"9782759201426"</f>
        <v>9782759201426</v>
      </c>
      <c r="E511" t="s">
        <v>2434</v>
      </c>
      <c r="F511" s="1">
        <v>38353</v>
      </c>
      <c r="G511" t="s">
        <v>2638</v>
      </c>
      <c r="H511" t="s">
        <v>2575</v>
      </c>
      <c r="L511" t="s">
        <v>1279</v>
      </c>
      <c r="M511" t="s">
        <v>2639</v>
      </c>
    </row>
    <row r="512" spans="1:13" x14ac:dyDescent="0.25">
      <c r="A512">
        <v>3399409</v>
      </c>
      <c r="B512" t="s">
        <v>2640</v>
      </c>
      <c r="C512" t="str">
        <f>"9782759218929"</f>
        <v>9782759218929</v>
      </c>
      <c r="D512" t="str">
        <f>"9782759218936"</f>
        <v>9782759218936</v>
      </c>
      <c r="E512" t="s">
        <v>2434</v>
      </c>
      <c r="F512" s="1">
        <v>41282</v>
      </c>
      <c r="G512" t="s">
        <v>2641</v>
      </c>
      <c r="H512" t="s">
        <v>1283</v>
      </c>
      <c r="I512" t="s">
        <v>2642</v>
      </c>
      <c r="K512" t="s">
        <v>2643</v>
      </c>
      <c r="L512" t="s">
        <v>1279</v>
      </c>
      <c r="M512" t="s">
        <v>2644</v>
      </c>
    </row>
    <row r="513" spans="1:13" x14ac:dyDescent="0.25">
      <c r="A513">
        <v>3399437</v>
      </c>
      <c r="B513" t="s">
        <v>2645</v>
      </c>
      <c r="C513" t="str">
        <f>"9782759216840"</f>
        <v>9782759216840</v>
      </c>
      <c r="D513" t="str">
        <f>"9782759216857"</f>
        <v>9782759216857</v>
      </c>
      <c r="E513" t="s">
        <v>2434</v>
      </c>
      <c r="F513" s="1">
        <v>40875</v>
      </c>
      <c r="G513" t="s">
        <v>2646</v>
      </c>
      <c r="H513" t="s">
        <v>1283</v>
      </c>
      <c r="I513" t="s">
        <v>2647</v>
      </c>
      <c r="K513" t="s">
        <v>2648</v>
      </c>
      <c r="L513" t="s">
        <v>1279</v>
      </c>
      <c r="M513" t="s">
        <v>2649</v>
      </c>
    </row>
    <row r="514" spans="1:13" x14ac:dyDescent="0.25">
      <c r="A514">
        <v>3399473</v>
      </c>
      <c r="B514" t="s">
        <v>2650</v>
      </c>
      <c r="C514" t="str">
        <f>"9782759219681"</f>
        <v>9782759219681</v>
      </c>
      <c r="D514" t="str">
        <f>"9782759219698"</f>
        <v>9782759219698</v>
      </c>
      <c r="E514" t="s">
        <v>2434</v>
      </c>
      <c r="F514" s="1">
        <v>41425</v>
      </c>
      <c r="G514" t="s">
        <v>2651</v>
      </c>
      <c r="H514" t="s">
        <v>2652</v>
      </c>
      <c r="I514" t="s">
        <v>2653</v>
      </c>
      <c r="J514">
        <v>616.91849999999999</v>
      </c>
      <c r="K514" t="s">
        <v>2654</v>
      </c>
      <c r="L514" t="s">
        <v>1279</v>
      </c>
      <c r="M514" t="s">
        <v>2655</v>
      </c>
    </row>
    <row r="515" spans="1:13" x14ac:dyDescent="0.25">
      <c r="A515">
        <v>3399483</v>
      </c>
      <c r="B515" t="s">
        <v>2656</v>
      </c>
      <c r="C515" t="str">
        <f>"9782759219865"</f>
        <v>9782759219865</v>
      </c>
      <c r="D515" t="str">
        <f>"9782759219872"</f>
        <v>9782759219872</v>
      </c>
      <c r="E515" t="s">
        <v>2434</v>
      </c>
      <c r="F515" s="1">
        <v>41425</v>
      </c>
      <c r="G515" t="s">
        <v>2435</v>
      </c>
      <c r="H515" t="s">
        <v>2657</v>
      </c>
      <c r="I515" t="s">
        <v>2658</v>
      </c>
      <c r="J515">
        <v>581.13350000000003</v>
      </c>
      <c r="K515" t="s">
        <v>2659</v>
      </c>
      <c r="L515" t="s">
        <v>1279</v>
      </c>
      <c r="M515" t="s">
        <v>2660</v>
      </c>
    </row>
    <row r="516" spans="1:13" x14ac:dyDescent="0.25">
      <c r="A516">
        <v>3399504</v>
      </c>
      <c r="B516" t="s">
        <v>2661</v>
      </c>
      <c r="C516" t="str">
        <f>"9782759221622"</f>
        <v>9782759221622</v>
      </c>
      <c r="D516" t="str">
        <f>"9782759221639"</f>
        <v>9782759221639</v>
      </c>
      <c r="E516" t="s">
        <v>2434</v>
      </c>
      <c r="F516" s="1">
        <v>41778</v>
      </c>
      <c r="G516" t="s">
        <v>2662</v>
      </c>
      <c r="H516" t="s">
        <v>64</v>
      </c>
      <c r="I516" t="s">
        <v>2663</v>
      </c>
      <c r="J516">
        <v>305.23094090310002</v>
      </c>
      <c r="K516" t="s">
        <v>2664</v>
      </c>
      <c r="L516" t="s">
        <v>1279</v>
      </c>
      <c r="M516" t="s">
        <v>2665</v>
      </c>
    </row>
    <row r="517" spans="1:13" x14ac:dyDescent="0.25">
      <c r="A517">
        <v>3399530</v>
      </c>
      <c r="B517" t="s">
        <v>2666</v>
      </c>
      <c r="C517" t="str">
        <f>"9782759221684"</f>
        <v>9782759221684</v>
      </c>
      <c r="D517" t="str">
        <f>"9782759221691"</f>
        <v>9782759221691</v>
      </c>
      <c r="E517" t="s">
        <v>2434</v>
      </c>
      <c r="F517" s="1">
        <v>41925</v>
      </c>
      <c r="G517" t="s">
        <v>2667</v>
      </c>
      <c r="H517" t="s">
        <v>1283</v>
      </c>
      <c r="I517" t="s">
        <v>2668</v>
      </c>
      <c r="J517">
        <v>633.20000000000005</v>
      </c>
      <c r="K517" t="s">
        <v>2669</v>
      </c>
      <c r="L517" t="s">
        <v>1279</v>
      </c>
      <c r="M517" t="s">
        <v>2670</v>
      </c>
    </row>
    <row r="518" spans="1:13" x14ac:dyDescent="0.25">
      <c r="A518">
        <v>3399546</v>
      </c>
      <c r="B518" t="s">
        <v>2671</v>
      </c>
      <c r="C518" t="str">
        <f>"9782759222667"</f>
        <v>9782759222667</v>
      </c>
      <c r="D518" t="str">
        <f>"9782759222674"</f>
        <v>9782759222674</v>
      </c>
      <c r="E518" t="s">
        <v>2434</v>
      </c>
      <c r="F518" s="1">
        <v>41990</v>
      </c>
      <c r="G518" t="s">
        <v>2672</v>
      </c>
      <c r="H518" t="s">
        <v>1283</v>
      </c>
      <c r="L518" t="s">
        <v>1279</v>
      </c>
      <c r="M518" t="s">
        <v>2673</v>
      </c>
    </row>
    <row r="519" spans="1:13" x14ac:dyDescent="0.25">
      <c r="A519">
        <v>3425842</v>
      </c>
      <c r="B519" t="s">
        <v>2674</v>
      </c>
      <c r="C519" t="str">
        <f>"9781780407210"</f>
        <v>9781780407210</v>
      </c>
      <c r="D519" t="str">
        <f>"9781780407227"</f>
        <v>9781780407227</v>
      </c>
      <c r="E519" t="s">
        <v>2237</v>
      </c>
      <c r="F519" s="1">
        <v>42231</v>
      </c>
      <c r="G519" t="s">
        <v>2675</v>
      </c>
      <c r="H519" t="s">
        <v>2258</v>
      </c>
      <c r="I519" t="s">
        <v>2676</v>
      </c>
      <c r="J519">
        <v>628.10681</v>
      </c>
      <c r="K519" t="s">
        <v>2677</v>
      </c>
      <c r="L519" t="s">
        <v>20</v>
      </c>
      <c r="M519" t="s">
        <v>2678</v>
      </c>
    </row>
    <row r="520" spans="1:13" x14ac:dyDescent="0.25">
      <c r="A520">
        <v>3440246</v>
      </c>
      <c r="B520" t="s">
        <v>2679</v>
      </c>
      <c r="C520" t="str">
        <f>"9781783741281"</f>
        <v>9781783741281</v>
      </c>
      <c r="D520" t="str">
        <f>"9781783741298"</f>
        <v>9781783741298</v>
      </c>
      <c r="E520" t="s">
        <v>2270</v>
      </c>
      <c r="F520" s="1">
        <v>42149</v>
      </c>
      <c r="G520" t="s">
        <v>2330</v>
      </c>
      <c r="H520" t="s">
        <v>246</v>
      </c>
      <c r="L520" t="s">
        <v>20</v>
      </c>
      <c r="M520" t="s">
        <v>2680</v>
      </c>
    </row>
    <row r="521" spans="1:13" x14ac:dyDescent="0.25">
      <c r="A521">
        <v>3440247</v>
      </c>
      <c r="B521" t="s">
        <v>2681</v>
      </c>
      <c r="C521" t="str">
        <f>"9781783740635"</f>
        <v>9781783740635</v>
      </c>
      <c r="D521" t="str">
        <f>"9781783740642"</f>
        <v>9781783740642</v>
      </c>
      <c r="E521" t="s">
        <v>2270</v>
      </c>
      <c r="F521" s="1">
        <v>42051</v>
      </c>
      <c r="G521" t="s">
        <v>2682</v>
      </c>
      <c r="H521" t="s">
        <v>2683</v>
      </c>
      <c r="L521" t="s">
        <v>20</v>
      </c>
      <c r="M521" t="s">
        <v>2684</v>
      </c>
    </row>
    <row r="522" spans="1:13" x14ac:dyDescent="0.25">
      <c r="A522">
        <v>3440248</v>
      </c>
      <c r="B522" t="s">
        <v>2685</v>
      </c>
      <c r="C522" t="str">
        <f>"9781909254558"</f>
        <v>9781909254558</v>
      </c>
      <c r="D522" t="str">
        <f>"9781909254565"</f>
        <v>9781909254565</v>
      </c>
      <c r="E522" t="s">
        <v>2270</v>
      </c>
      <c r="F522" s="1">
        <v>41995</v>
      </c>
      <c r="G522" t="s">
        <v>2686</v>
      </c>
      <c r="H522" t="s">
        <v>780</v>
      </c>
      <c r="L522" t="s">
        <v>20</v>
      </c>
      <c r="M522" t="s">
        <v>2687</v>
      </c>
    </row>
    <row r="523" spans="1:13" x14ac:dyDescent="0.25">
      <c r="A523">
        <v>3440249</v>
      </c>
      <c r="B523" t="s">
        <v>2688</v>
      </c>
      <c r="C523" t="str">
        <f>"9781783741182"</f>
        <v>9781783741182</v>
      </c>
      <c r="D523" t="str">
        <f>"9781783741199"</f>
        <v>9781783741199</v>
      </c>
      <c r="E523" t="s">
        <v>2270</v>
      </c>
      <c r="F523" s="1">
        <v>42128</v>
      </c>
      <c r="G523" t="s">
        <v>2689</v>
      </c>
      <c r="H523" t="s">
        <v>266</v>
      </c>
      <c r="L523" t="s">
        <v>20</v>
      </c>
      <c r="M523" t="s">
        <v>2690</v>
      </c>
    </row>
    <row r="524" spans="1:13" x14ac:dyDescent="0.25">
      <c r="A524">
        <v>3440250</v>
      </c>
      <c r="B524" t="s">
        <v>2691</v>
      </c>
      <c r="C524" t="str">
        <f>"9781783741236"</f>
        <v>9781783741236</v>
      </c>
      <c r="D524" t="str">
        <f>"9781783741243"</f>
        <v>9781783741243</v>
      </c>
      <c r="E524" t="s">
        <v>2270</v>
      </c>
      <c r="F524" s="1">
        <v>42114</v>
      </c>
      <c r="G524" t="s">
        <v>2692</v>
      </c>
      <c r="H524" t="s">
        <v>2693</v>
      </c>
      <c r="L524" t="s">
        <v>20</v>
      </c>
      <c r="M524" t="s">
        <v>2694</v>
      </c>
    </row>
    <row r="525" spans="1:13" x14ac:dyDescent="0.25">
      <c r="A525">
        <v>3440251</v>
      </c>
      <c r="B525" t="s">
        <v>2695</v>
      </c>
      <c r="C525" t="str">
        <f>"9781783740437"</f>
        <v>9781783740437</v>
      </c>
      <c r="D525" t="str">
        <f>"9781783740444"</f>
        <v>9781783740444</v>
      </c>
      <c r="E525" t="s">
        <v>2270</v>
      </c>
      <c r="F525" s="1">
        <v>42151</v>
      </c>
      <c r="G525" t="s">
        <v>2696</v>
      </c>
      <c r="H525" t="s">
        <v>70</v>
      </c>
      <c r="L525" t="s">
        <v>20</v>
      </c>
      <c r="M525" t="s">
        <v>2697</v>
      </c>
    </row>
    <row r="526" spans="1:13" x14ac:dyDescent="0.25">
      <c r="A526">
        <v>3440252</v>
      </c>
      <c r="B526" t="s">
        <v>2698</v>
      </c>
      <c r="C526" t="str">
        <f>"9781783741083"</f>
        <v>9781783741083</v>
      </c>
      <c r="D526" t="str">
        <f>"9781783741090"</f>
        <v>9781783741090</v>
      </c>
      <c r="E526" t="s">
        <v>2270</v>
      </c>
      <c r="F526" s="1">
        <v>42093</v>
      </c>
      <c r="G526" t="s">
        <v>2699</v>
      </c>
      <c r="H526" t="s">
        <v>851</v>
      </c>
      <c r="L526" t="s">
        <v>20</v>
      </c>
      <c r="M526" t="s">
        <v>2700</v>
      </c>
    </row>
    <row r="527" spans="1:13" x14ac:dyDescent="0.25">
      <c r="A527">
        <v>3440253</v>
      </c>
      <c r="B527" t="s">
        <v>2701</v>
      </c>
      <c r="C527" t="str">
        <f>"9781783741489"</f>
        <v>9781783741489</v>
      </c>
      <c r="D527" t="str">
        <f>"9781783741496"</f>
        <v>9781783741496</v>
      </c>
      <c r="E527" t="s">
        <v>2270</v>
      </c>
      <c r="F527" s="1">
        <v>42135</v>
      </c>
      <c r="G527" t="s">
        <v>2702</v>
      </c>
      <c r="H527" t="s">
        <v>239</v>
      </c>
      <c r="L527" t="s">
        <v>20</v>
      </c>
      <c r="M527" t="s">
        <v>2703</v>
      </c>
    </row>
    <row r="528" spans="1:13" x14ac:dyDescent="0.25">
      <c r="A528">
        <v>3440254</v>
      </c>
      <c r="B528" t="s">
        <v>2704</v>
      </c>
      <c r="C528" t="str">
        <f>"9781783741137"</f>
        <v>9781783741137</v>
      </c>
      <c r="D528" t="str">
        <f>"9781783741144"</f>
        <v>9781783741144</v>
      </c>
      <c r="E528" t="s">
        <v>2270</v>
      </c>
      <c r="F528" s="1">
        <v>42177</v>
      </c>
      <c r="G528" t="s">
        <v>2705</v>
      </c>
      <c r="H528" t="s">
        <v>30</v>
      </c>
      <c r="L528" t="s">
        <v>20</v>
      </c>
      <c r="M528" t="s">
        <v>2706</v>
      </c>
    </row>
    <row r="529" spans="1:13" x14ac:dyDescent="0.25">
      <c r="A529">
        <v>3440255</v>
      </c>
      <c r="B529" t="s">
        <v>2707</v>
      </c>
      <c r="C529" t="str">
        <f>"9781783741588"</f>
        <v>9781783741588</v>
      </c>
      <c r="D529" t="str">
        <f>"9781783741595"</f>
        <v>9781783741595</v>
      </c>
      <c r="E529" t="s">
        <v>2270</v>
      </c>
      <c r="F529" s="1">
        <v>42186</v>
      </c>
      <c r="G529" t="s">
        <v>2708</v>
      </c>
      <c r="H529" t="s">
        <v>2709</v>
      </c>
      <c r="I529" t="s">
        <v>2710</v>
      </c>
      <c r="J529">
        <v>333.95159999999998</v>
      </c>
      <c r="K529" t="s">
        <v>2711</v>
      </c>
      <c r="L529" t="s">
        <v>20</v>
      </c>
      <c r="M529" t="s">
        <v>2712</v>
      </c>
    </row>
    <row r="530" spans="1:13" x14ac:dyDescent="0.25">
      <c r="A530">
        <v>3572110</v>
      </c>
      <c r="B530" t="s">
        <v>2713</v>
      </c>
      <c r="C530" t="str">
        <f>"9783110375800"</f>
        <v>9783110375800</v>
      </c>
      <c r="D530" t="str">
        <f>"9783110375817"</f>
        <v>9783110375817</v>
      </c>
      <c r="E530" t="s">
        <v>350</v>
      </c>
      <c r="F530" s="1">
        <v>42082</v>
      </c>
      <c r="G530" t="s">
        <v>2714</v>
      </c>
      <c r="H530" t="s">
        <v>310</v>
      </c>
      <c r="I530" t="s">
        <v>2715</v>
      </c>
      <c r="J530">
        <v>248.48</v>
      </c>
      <c r="K530" t="s">
        <v>2716</v>
      </c>
      <c r="L530" t="s">
        <v>20</v>
      </c>
      <c r="M530" t="s">
        <v>2717</v>
      </c>
    </row>
    <row r="531" spans="1:13" x14ac:dyDescent="0.25">
      <c r="A531">
        <v>3572111</v>
      </c>
      <c r="B531" t="s">
        <v>2718</v>
      </c>
      <c r="C531" t="str">
        <f>"9783110337181"</f>
        <v>9783110337181</v>
      </c>
      <c r="D531" t="str">
        <f>"9783110354324"</f>
        <v>9783110354324</v>
      </c>
      <c r="E531" t="s">
        <v>270</v>
      </c>
      <c r="F531" s="1">
        <v>42143</v>
      </c>
      <c r="G531" t="s">
        <v>2719</v>
      </c>
      <c r="H531" t="s">
        <v>2720</v>
      </c>
      <c r="I531" t="s">
        <v>2721</v>
      </c>
      <c r="J531">
        <v>620.5</v>
      </c>
      <c r="K531" t="s">
        <v>2722</v>
      </c>
      <c r="L531" t="s">
        <v>20</v>
      </c>
      <c r="M531" t="s">
        <v>2723</v>
      </c>
    </row>
    <row r="532" spans="1:13" x14ac:dyDescent="0.25">
      <c r="A532">
        <v>3572112</v>
      </c>
      <c r="B532" t="s">
        <v>2724</v>
      </c>
      <c r="C532" t="str">
        <f>"9783110425253"</f>
        <v>9783110425253</v>
      </c>
      <c r="D532" t="str">
        <f>"9783110425260"</f>
        <v>9783110425260</v>
      </c>
      <c r="E532" t="s">
        <v>350</v>
      </c>
      <c r="F532" s="1">
        <v>42171</v>
      </c>
      <c r="G532" t="s">
        <v>2725</v>
      </c>
      <c r="H532" t="s">
        <v>310</v>
      </c>
      <c r="I532" t="s">
        <v>2726</v>
      </c>
      <c r="J532">
        <v>296.81</v>
      </c>
      <c r="K532" t="s">
        <v>2727</v>
      </c>
      <c r="L532" t="s">
        <v>20</v>
      </c>
      <c r="M532" t="s">
        <v>2728</v>
      </c>
    </row>
    <row r="533" spans="1:13" x14ac:dyDescent="0.25">
      <c r="A533">
        <v>3572114</v>
      </c>
      <c r="B533" t="s">
        <v>2729</v>
      </c>
      <c r="C533" t="str">
        <f>"9783110370164"</f>
        <v>9783110370164</v>
      </c>
      <c r="D533" t="str">
        <f>"9783110370195"</f>
        <v>9783110370195</v>
      </c>
      <c r="E533" t="s">
        <v>350</v>
      </c>
      <c r="F533" s="1">
        <v>42153</v>
      </c>
      <c r="G533" t="s">
        <v>2730</v>
      </c>
      <c r="H533" t="s">
        <v>2731</v>
      </c>
      <c r="I533" t="s">
        <v>2732</v>
      </c>
      <c r="J533">
        <v>581.99417000000005</v>
      </c>
      <c r="K533" t="s">
        <v>2733</v>
      </c>
      <c r="L533" t="s">
        <v>20</v>
      </c>
      <c r="M533" t="s">
        <v>2734</v>
      </c>
    </row>
    <row r="534" spans="1:13" x14ac:dyDescent="0.25">
      <c r="A534">
        <v>3572134</v>
      </c>
      <c r="B534" t="s">
        <v>2735</v>
      </c>
      <c r="C534" t="str">
        <f>"9783110426410"</f>
        <v>9783110426410</v>
      </c>
      <c r="D534" t="str">
        <f>"9783110426427"</f>
        <v>9783110426427</v>
      </c>
      <c r="E534" t="s">
        <v>350</v>
      </c>
      <c r="F534" s="1">
        <v>42143</v>
      </c>
      <c r="G534" t="s">
        <v>2736</v>
      </c>
      <c r="H534" t="s">
        <v>163</v>
      </c>
      <c r="I534" t="s">
        <v>2737</v>
      </c>
      <c r="J534">
        <v>873.01</v>
      </c>
      <c r="K534" t="s">
        <v>2738</v>
      </c>
      <c r="L534" t="s">
        <v>20</v>
      </c>
      <c r="M534" t="s">
        <v>2739</v>
      </c>
    </row>
    <row r="535" spans="1:13" x14ac:dyDescent="0.25">
      <c r="A535">
        <v>3572135</v>
      </c>
      <c r="B535" t="s">
        <v>2740</v>
      </c>
      <c r="C535" t="str">
        <f>"9783110374810"</f>
        <v>9783110374810</v>
      </c>
      <c r="D535" t="str">
        <f>"9783110374827"</f>
        <v>9783110374827</v>
      </c>
      <c r="E535" t="s">
        <v>350</v>
      </c>
      <c r="F535" s="1">
        <v>41920</v>
      </c>
      <c r="G535" t="s">
        <v>2741</v>
      </c>
      <c r="H535" t="s">
        <v>2742</v>
      </c>
      <c r="I535" t="s">
        <v>2743</v>
      </c>
      <c r="J535">
        <v>616.85844499999996</v>
      </c>
      <c r="K535" t="s">
        <v>2744</v>
      </c>
      <c r="L535" t="s">
        <v>20</v>
      </c>
      <c r="M535" t="s">
        <v>2745</v>
      </c>
    </row>
    <row r="536" spans="1:13" x14ac:dyDescent="0.25">
      <c r="A536">
        <v>3572138</v>
      </c>
      <c r="B536" t="s">
        <v>2746</v>
      </c>
      <c r="C536" t="str">
        <f>"9783486590166"</f>
        <v>9783486590166</v>
      </c>
      <c r="D536" t="str">
        <f>"9783486850482"</f>
        <v>9783486850482</v>
      </c>
      <c r="E536" t="s">
        <v>350</v>
      </c>
      <c r="F536" s="1">
        <v>40044</v>
      </c>
      <c r="G536" t="s">
        <v>2747</v>
      </c>
      <c r="H536" t="s">
        <v>139</v>
      </c>
      <c r="I536" t="s">
        <v>2748</v>
      </c>
      <c r="J536">
        <v>940.34400000000005</v>
      </c>
      <c r="K536" t="s">
        <v>2749</v>
      </c>
      <c r="L536" t="s">
        <v>291</v>
      </c>
      <c r="M536" t="s">
        <v>2750</v>
      </c>
    </row>
    <row r="537" spans="1:13" x14ac:dyDescent="0.25">
      <c r="A537">
        <v>3572142</v>
      </c>
      <c r="B537" t="s">
        <v>2751</v>
      </c>
      <c r="C537" t="str">
        <f>"9783486585193"</f>
        <v>9783486585193</v>
      </c>
      <c r="D537" t="str">
        <f>"9783486845686"</f>
        <v>9783486845686</v>
      </c>
      <c r="E537" t="s">
        <v>350</v>
      </c>
      <c r="F537" s="1">
        <v>39377</v>
      </c>
      <c r="G537" t="s">
        <v>2752</v>
      </c>
      <c r="H537" t="s">
        <v>743</v>
      </c>
      <c r="I537" t="s">
        <v>2753</v>
      </c>
      <c r="J537">
        <v>303.48243043999997</v>
      </c>
      <c r="K537" t="s">
        <v>2754</v>
      </c>
      <c r="L537" t="s">
        <v>291</v>
      </c>
      <c r="M537" t="s">
        <v>2755</v>
      </c>
    </row>
    <row r="538" spans="1:13" x14ac:dyDescent="0.25">
      <c r="A538">
        <v>3572158</v>
      </c>
      <c r="B538" t="s">
        <v>2756</v>
      </c>
      <c r="C538" t="str">
        <f>"9783486566093"</f>
        <v>9783486566093</v>
      </c>
      <c r="D538" t="str">
        <f>"9783486832969"</f>
        <v>9783486832969</v>
      </c>
      <c r="E538" t="s">
        <v>350</v>
      </c>
      <c r="F538" s="1">
        <v>37314</v>
      </c>
      <c r="G538" t="s">
        <v>2757</v>
      </c>
      <c r="H538" t="s">
        <v>139</v>
      </c>
      <c r="I538" t="s">
        <v>2758</v>
      </c>
      <c r="J538" t="s">
        <v>2759</v>
      </c>
      <c r="K538" t="s">
        <v>2760</v>
      </c>
      <c r="L538" t="s">
        <v>291</v>
      </c>
      <c r="M538" t="s">
        <v>2761</v>
      </c>
    </row>
    <row r="539" spans="1:13" x14ac:dyDescent="0.25">
      <c r="A539">
        <v>3572173</v>
      </c>
      <c r="B539" t="s">
        <v>2762</v>
      </c>
      <c r="C539" t="str">
        <f>"9783486566833"</f>
        <v>9783486566833</v>
      </c>
      <c r="D539" t="str">
        <f>"9783486833584"</f>
        <v>9783486833584</v>
      </c>
      <c r="E539" t="s">
        <v>350</v>
      </c>
      <c r="F539" s="1">
        <v>37489</v>
      </c>
      <c r="G539" t="s">
        <v>2763</v>
      </c>
      <c r="H539" t="s">
        <v>30</v>
      </c>
      <c r="I539" t="s">
        <v>2764</v>
      </c>
      <c r="J539">
        <v>327</v>
      </c>
      <c r="K539" t="s">
        <v>2765</v>
      </c>
      <c r="L539" t="s">
        <v>291</v>
      </c>
      <c r="M539" t="s">
        <v>2766</v>
      </c>
    </row>
    <row r="540" spans="1:13" x14ac:dyDescent="0.25">
      <c r="A540">
        <v>3572221</v>
      </c>
      <c r="B540" t="s">
        <v>2767</v>
      </c>
      <c r="C540" t="str">
        <f>"9783110288315"</f>
        <v>9783110288315</v>
      </c>
      <c r="D540" t="str">
        <f>"9783110288384"</f>
        <v>9783110288384</v>
      </c>
      <c r="E540" t="s">
        <v>270</v>
      </c>
      <c r="F540" s="1">
        <v>41785</v>
      </c>
      <c r="G540" t="s">
        <v>2768</v>
      </c>
      <c r="H540" t="s">
        <v>780</v>
      </c>
      <c r="I540" t="s">
        <v>2769</v>
      </c>
      <c r="J540">
        <v>303.39999999999998</v>
      </c>
      <c r="K540" t="s">
        <v>2770</v>
      </c>
      <c r="L540" t="s">
        <v>20</v>
      </c>
      <c r="M540" t="s">
        <v>2771</v>
      </c>
    </row>
    <row r="541" spans="1:13" x14ac:dyDescent="0.25">
      <c r="A541">
        <v>3572232</v>
      </c>
      <c r="B541" t="s">
        <v>2772</v>
      </c>
      <c r="C541" t="str">
        <f>"9783110299298"</f>
        <v>9783110299298</v>
      </c>
      <c r="D541" t="str">
        <f>"9783110299557"</f>
        <v>9783110299557</v>
      </c>
      <c r="E541" t="s">
        <v>270</v>
      </c>
      <c r="F541" s="1">
        <v>41806</v>
      </c>
      <c r="G541" t="s">
        <v>2773</v>
      </c>
      <c r="H541" t="s">
        <v>310</v>
      </c>
      <c r="I541" t="s">
        <v>2774</v>
      </c>
      <c r="J541">
        <v>292.89999999999998</v>
      </c>
      <c r="K541" t="s">
        <v>2775</v>
      </c>
      <c r="L541" t="s">
        <v>20</v>
      </c>
      <c r="M541" t="s">
        <v>2776</v>
      </c>
    </row>
    <row r="542" spans="1:13" x14ac:dyDescent="0.25">
      <c r="A542">
        <v>3572248</v>
      </c>
      <c r="B542" t="s">
        <v>2777</v>
      </c>
      <c r="C542" t="str">
        <f>"9783110309249"</f>
        <v>9783110309249</v>
      </c>
      <c r="D542" t="str">
        <f>"9783110311211"</f>
        <v>9783110311211</v>
      </c>
      <c r="E542" t="s">
        <v>270</v>
      </c>
      <c r="F542" s="1">
        <v>42181</v>
      </c>
      <c r="G542" t="s">
        <v>2778</v>
      </c>
      <c r="H542" t="s">
        <v>139</v>
      </c>
      <c r="I542" t="s">
        <v>2779</v>
      </c>
      <c r="J542">
        <v>930.10950000000003</v>
      </c>
      <c r="K542" t="s">
        <v>2780</v>
      </c>
      <c r="L542" t="s">
        <v>20</v>
      </c>
      <c r="M542" t="s">
        <v>2781</v>
      </c>
    </row>
    <row r="543" spans="1:13" x14ac:dyDescent="0.25">
      <c r="A543">
        <v>3572250</v>
      </c>
      <c r="B543" t="s">
        <v>2782</v>
      </c>
      <c r="C543" t="str">
        <f>"9783110350500"</f>
        <v>9783110350500</v>
      </c>
      <c r="D543" t="str">
        <f>"9783110350999"</f>
        <v>9783110350999</v>
      </c>
      <c r="E543" t="s">
        <v>270</v>
      </c>
      <c r="F543" s="1">
        <v>41820</v>
      </c>
      <c r="G543" t="s">
        <v>2783</v>
      </c>
      <c r="H543" t="s">
        <v>139</v>
      </c>
      <c r="I543" t="s">
        <v>2784</v>
      </c>
      <c r="J543">
        <v>938.00720000000001</v>
      </c>
      <c r="K543" t="s">
        <v>2785</v>
      </c>
      <c r="L543" t="s">
        <v>291</v>
      </c>
      <c r="M543" t="s">
        <v>2786</v>
      </c>
    </row>
    <row r="544" spans="1:13" x14ac:dyDescent="0.25">
      <c r="A544">
        <v>3572268</v>
      </c>
      <c r="B544" t="s">
        <v>2787</v>
      </c>
      <c r="C544" t="str">
        <f>"9783486591415"</f>
        <v>9783486591415</v>
      </c>
      <c r="D544" t="str">
        <f>"9783486989304"</f>
        <v>9783486989304</v>
      </c>
      <c r="E544" t="s">
        <v>350</v>
      </c>
      <c r="F544" s="1">
        <v>40366</v>
      </c>
      <c r="G544" t="s">
        <v>2788</v>
      </c>
      <c r="H544" t="s">
        <v>108</v>
      </c>
      <c r="I544" t="s">
        <v>2789</v>
      </c>
      <c r="J544">
        <v>170.44</v>
      </c>
      <c r="K544" t="s">
        <v>2790</v>
      </c>
      <c r="L544" t="s">
        <v>291</v>
      </c>
      <c r="M544" t="s">
        <v>2791</v>
      </c>
    </row>
    <row r="545" spans="1:13" x14ac:dyDescent="0.25">
      <c r="A545">
        <v>3572321</v>
      </c>
      <c r="B545" t="s">
        <v>2792</v>
      </c>
      <c r="C545" t="str">
        <f>"9783486597707"</f>
        <v>9783486597707</v>
      </c>
      <c r="D545" t="str">
        <f>"9783486989328"</f>
        <v>9783486989328</v>
      </c>
      <c r="E545" t="s">
        <v>350</v>
      </c>
      <c r="F545" s="1">
        <v>40436</v>
      </c>
      <c r="G545" t="s">
        <v>2793</v>
      </c>
      <c r="H545" t="s">
        <v>780</v>
      </c>
      <c r="I545" t="s">
        <v>2794</v>
      </c>
      <c r="J545">
        <v>303.48243044090401</v>
      </c>
      <c r="K545" t="s">
        <v>2795</v>
      </c>
      <c r="L545" t="s">
        <v>291</v>
      </c>
      <c r="M545" t="s">
        <v>2796</v>
      </c>
    </row>
    <row r="546" spans="1:13" x14ac:dyDescent="0.25">
      <c r="A546">
        <v>3572329</v>
      </c>
      <c r="B546" t="s">
        <v>2797</v>
      </c>
      <c r="C546" t="str">
        <f>"9783486709414"</f>
        <v>9783486709414</v>
      </c>
      <c r="D546" t="str">
        <f>"9783486989342"</f>
        <v>9783486989342</v>
      </c>
      <c r="E546" t="s">
        <v>350</v>
      </c>
      <c r="F546" s="1">
        <v>41192</v>
      </c>
      <c r="G546" t="s">
        <v>2798</v>
      </c>
      <c r="H546" t="s">
        <v>780</v>
      </c>
      <c r="I546" t="s">
        <v>2799</v>
      </c>
      <c r="J546">
        <v>301.29182200000002</v>
      </c>
      <c r="K546" t="s">
        <v>2800</v>
      </c>
      <c r="L546" t="s">
        <v>1279</v>
      </c>
      <c r="M546" t="s">
        <v>2801</v>
      </c>
    </row>
    <row r="547" spans="1:13" x14ac:dyDescent="0.25">
      <c r="A547">
        <v>3572330</v>
      </c>
      <c r="B547" t="s">
        <v>2802</v>
      </c>
      <c r="C547" t="str">
        <f>"9783486566840"</f>
        <v>9783486566840</v>
      </c>
      <c r="D547" t="str">
        <f>"9783486833607"</f>
        <v>9783486833607</v>
      </c>
      <c r="E547" t="s">
        <v>350</v>
      </c>
      <c r="F547" s="1">
        <v>37735</v>
      </c>
      <c r="G547" t="s">
        <v>2803</v>
      </c>
      <c r="H547" t="s">
        <v>139</v>
      </c>
      <c r="I547" t="s">
        <v>2804</v>
      </c>
      <c r="J547">
        <v>944.04200000000003</v>
      </c>
      <c r="K547" t="s">
        <v>2805</v>
      </c>
      <c r="L547" t="s">
        <v>291</v>
      </c>
      <c r="M547" t="s">
        <v>2806</v>
      </c>
    </row>
    <row r="548" spans="1:13" x14ac:dyDescent="0.25">
      <c r="A548">
        <v>3572396</v>
      </c>
      <c r="B548" t="s">
        <v>2807</v>
      </c>
      <c r="C548" t="str">
        <f>"9783486568332"</f>
        <v>9783486568332</v>
      </c>
      <c r="D548" t="str">
        <f>"9783486835427"</f>
        <v>9783486835427</v>
      </c>
      <c r="E548" t="s">
        <v>350</v>
      </c>
      <c r="F548" s="1">
        <v>38112</v>
      </c>
      <c r="G548" t="s">
        <v>2808</v>
      </c>
      <c r="H548" t="s">
        <v>2809</v>
      </c>
      <c r="I548" t="s">
        <v>2810</v>
      </c>
      <c r="J548">
        <v>726.70924000000002</v>
      </c>
      <c r="K548" t="s">
        <v>2811</v>
      </c>
      <c r="L548" t="s">
        <v>1279</v>
      </c>
      <c r="M548" t="s">
        <v>2812</v>
      </c>
    </row>
    <row r="549" spans="1:13" x14ac:dyDescent="0.25">
      <c r="A549">
        <v>3572401</v>
      </c>
      <c r="B549" t="s">
        <v>2813</v>
      </c>
      <c r="C549" t="str">
        <f>"9783486575637"</f>
        <v>9783486575637</v>
      </c>
      <c r="D549" t="str">
        <f>"9783486835748"</f>
        <v>9783486835748</v>
      </c>
      <c r="E549" t="s">
        <v>350</v>
      </c>
      <c r="F549" s="1">
        <v>38420</v>
      </c>
      <c r="G549" t="s">
        <v>2814</v>
      </c>
      <c r="H549" t="s">
        <v>139</v>
      </c>
      <c r="I549" t="s">
        <v>2815</v>
      </c>
      <c r="J549" t="s">
        <v>2816</v>
      </c>
      <c r="K549" t="s">
        <v>2817</v>
      </c>
      <c r="L549" t="s">
        <v>291</v>
      </c>
      <c r="M549" t="s">
        <v>2818</v>
      </c>
    </row>
    <row r="550" spans="1:13" x14ac:dyDescent="0.25">
      <c r="A550">
        <v>3572403</v>
      </c>
      <c r="B550" t="s">
        <v>2819</v>
      </c>
      <c r="C550" t="str">
        <f>"9783486568295"</f>
        <v>9783486568295</v>
      </c>
      <c r="D550" t="str">
        <f>"9783486835380"</f>
        <v>9783486835380</v>
      </c>
      <c r="E550" t="s">
        <v>350</v>
      </c>
      <c r="F550" s="1">
        <v>38175</v>
      </c>
      <c r="G550" t="s">
        <v>2820</v>
      </c>
      <c r="H550" t="s">
        <v>146</v>
      </c>
      <c r="I550" t="s">
        <v>2821</v>
      </c>
      <c r="J550">
        <v>325.21094309043002</v>
      </c>
      <c r="K550" t="s">
        <v>2822</v>
      </c>
      <c r="L550" t="s">
        <v>291</v>
      </c>
      <c r="M550" t="s">
        <v>2823</v>
      </c>
    </row>
    <row r="551" spans="1:13" x14ac:dyDescent="0.25">
      <c r="A551">
        <v>3572439</v>
      </c>
      <c r="B551" t="s">
        <v>2824</v>
      </c>
      <c r="C551" t="str">
        <f>"9783110403725"</f>
        <v>9783110403725</v>
      </c>
      <c r="D551" t="str">
        <f>"9783110403732"</f>
        <v>9783110403732</v>
      </c>
      <c r="E551" t="s">
        <v>350</v>
      </c>
      <c r="F551" s="1">
        <v>42215</v>
      </c>
      <c r="G551" t="s">
        <v>2825</v>
      </c>
      <c r="H551" t="s">
        <v>806</v>
      </c>
      <c r="I551" t="s">
        <v>2826</v>
      </c>
      <c r="J551">
        <v>720.1</v>
      </c>
      <c r="K551" t="s">
        <v>2827</v>
      </c>
      <c r="L551" t="s">
        <v>20</v>
      </c>
      <c r="M551" t="s">
        <v>2828</v>
      </c>
    </row>
    <row r="552" spans="1:13" x14ac:dyDescent="0.25">
      <c r="A552">
        <v>3572440</v>
      </c>
      <c r="B552" t="s">
        <v>2829</v>
      </c>
      <c r="C552" t="str">
        <f>"9783110441109"</f>
        <v>9783110441109</v>
      </c>
      <c r="D552" t="str">
        <f>"9783110441116"</f>
        <v>9783110441116</v>
      </c>
      <c r="E552" t="s">
        <v>350</v>
      </c>
      <c r="F552" s="1">
        <v>42209</v>
      </c>
      <c r="G552" t="s">
        <v>2830</v>
      </c>
      <c r="H552" t="s">
        <v>743</v>
      </c>
      <c r="I552" t="s">
        <v>2831</v>
      </c>
      <c r="J552">
        <v>305.80094800000001</v>
      </c>
      <c r="K552" t="s">
        <v>2832</v>
      </c>
      <c r="L552" t="s">
        <v>20</v>
      </c>
      <c r="M552" t="s">
        <v>2833</v>
      </c>
    </row>
    <row r="553" spans="1:13" x14ac:dyDescent="0.25">
      <c r="A553">
        <v>4001766</v>
      </c>
      <c r="B553" t="s">
        <v>2834</v>
      </c>
      <c r="C553" t="str">
        <f>"9783110443325"</f>
        <v>9783110443325</v>
      </c>
      <c r="D553" t="str">
        <f>"9783110443882"</f>
        <v>9783110443882</v>
      </c>
      <c r="E553" t="s">
        <v>350</v>
      </c>
      <c r="F553" s="1">
        <v>42244</v>
      </c>
      <c r="G553" t="s">
        <v>2835</v>
      </c>
      <c r="H553" t="s">
        <v>712</v>
      </c>
      <c r="I553" t="s">
        <v>2836</v>
      </c>
      <c r="J553" t="s">
        <v>2837</v>
      </c>
      <c r="L553" t="s">
        <v>20</v>
      </c>
      <c r="M553" t="s">
        <v>2838</v>
      </c>
    </row>
    <row r="554" spans="1:13" x14ac:dyDescent="0.25">
      <c r="A554">
        <v>4001767</v>
      </c>
      <c r="B554" t="s">
        <v>2839</v>
      </c>
      <c r="C554" t="str">
        <f>"9783110443332"</f>
        <v>9783110443332</v>
      </c>
      <c r="D554" t="str">
        <f>"9783110443905"</f>
        <v>9783110443905</v>
      </c>
      <c r="E554" t="s">
        <v>350</v>
      </c>
      <c r="F554" s="1">
        <v>42244</v>
      </c>
      <c r="G554" t="s">
        <v>2840</v>
      </c>
      <c r="H554" t="s">
        <v>712</v>
      </c>
      <c r="I554" t="s">
        <v>2841</v>
      </c>
      <c r="J554">
        <v>4.0190000000000001</v>
      </c>
      <c r="L554" t="s">
        <v>20</v>
      </c>
      <c r="M554" t="s">
        <v>2842</v>
      </c>
    </row>
    <row r="555" spans="1:13" x14ac:dyDescent="0.25">
      <c r="A555">
        <v>4001768</v>
      </c>
      <c r="B555" t="s">
        <v>2843</v>
      </c>
      <c r="C555" t="str">
        <f>"9783110443349"</f>
        <v>9783110443349</v>
      </c>
      <c r="D555" t="str">
        <f>"9783110443929"</f>
        <v>9783110443929</v>
      </c>
      <c r="E555" t="s">
        <v>350</v>
      </c>
      <c r="F555" s="1">
        <v>42244</v>
      </c>
      <c r="G555" t="s">
        <v>2844</v>
      </c>
      <c r="H555" t="s">
        <v>712</v>
      </c>
      <c r="I555" t="s">
        <v>2841</v>
      </c>
      <c r="J555">
        <v>4.0190000000000001</v>
      </c>
      <c r="L555" t="s">
        <v>20</v>
      </c>
      <c r="M555" t="s">
        <v>2845</v>
      </c>
    </row>
    <row r="556" spans="1:13" x14ac:dyDescent="0.25">
      <c r="A556">
        <v>4002133</v>
      </c>
      <c r="B556" t="s">
        <v>2846</v>
      </c>
      <c r="C556" t="str">
        <f>"9783110371741"</f>
        <v>9783110371741</v>
      </c>
      <c r="D556" t="str">
        <f>"9783110371758"</f>
        <v>9783110371758</v>
      </c>
      <c r="E556" t="s">
        <v>270</v>
      </c>
      <c r="F556" s="1">
        <v>42244</v>
      </c>
      <c r="G556" t="s">
        <v>2847</v>
      </c>
      <c r="H556" t="s">
        <v>64</v>
      </c>
      <c r="I556" t="s">
        <v>2848</v>
      </c>
      <c r="J556">
        <v>302.23093499999902</v>
      </c>
      <c r="K556" t="s">
        <v>2849</v>
      </c>
      <c r="L556" t="s">
        <v>20</v>
      </c>
      <c r="M556" t="s">
        <v>2850</v>
      </c>
    </row>
    <row r="557" spans="1:13" x14ac:dyDescent="0.25">
      <c r="A557">
        <v>4002169</v>
      </c>
      <c r="B557" t="s">
        <v>2851</v>
      </c>
      <c r="C557" t="str">
        <f>"9788376560786"</f>
        <v>9788376560786</v>
      </c>
      <c r="D557" t="str">
        <f>"9788376560793"</f>
        <v>9788376560793</v>
      </c>
      <c r="E557" t="s">
        <v>350</v>
      </c>
      <c r="F557" s="1">
        <v>41670</v>
      </c>
      <c r="G557" t="s">
        <v>2852</v>
      </c>
      <c r="H557" t="s">
        <v>851</v>
      </c>
      <c r="I557" t="s">
        <v>2853</v>
      </c>
      <c r="J557">
        <v>428.00709999999998</v>
      </c>
      <c r="K557" t="s">
        <v>2854</v>
      </c>
      <c r="L557" t="s">
        <v>20</v>
      </c>
      <c r="M557" t="s">
        <v>2855</v>
      </c>
    </row>
    <row r="558" spans="1:13" x14ac:dyDescent="0.25">
      <c r="A558">
        <v>4002241</v>
      </c>
      <c r="B558" t="s">
        <v>2856</v>
      </c>
      <c r="C558" t="str">
        <f>"9783486597691"</f>
        <v>9783486597691</v>
      </c>
      <c r="D558" t="str">
        <f>"9783486989311"</f>
        <v>9783486989311</v>
      </c>
      <c r="E558" t="s">
        <v>350</v>
      </c>
      <c r="F558" s="1">
        <v>40457</v>
      </c>
      <c r="G558" t="s">
        <v>2857</v>
      </c>
      <c r="H558" t="s">
        <v>139</v>
      </c>
      <c r="L558" t="s">
        <v>1279</v>
      </c>
      <c r="M558" t="s">
        <v>2858</v>
      </c>
    </row>
    <row r="559" spans="1:13" x14ac:dyDescent="0.25">
      <c r="A559">
        <v>4002338</v>
      </c>
      <c r="B559" t="s">
        <v>2859</v>
      </c>
      <c r="C559" t="str">
        <f>"9783486566086"</f>
        <v>9783486566086</v>
      </c>
      <c r="D559" t="str">
        <f>"9783486832945"</f>
        <v>9783486832945</v>
      </c>
      <c r="E559" t="s">
        <v>350</v>
      </c>
      <c r="F559" s="1">
        <v>37230</v>
      </c>
      <c r="G559" t="s">
        <v>2860</v>
      </c>
      <c r="H559" t="s">
        <v>2861</v>
      </c>
      <c r="I559" t="s">
        <v>2862</v>
      </c>
      <c r="J559">
        <v>352.00724000000002</v>
      </c>
      <c r="K559" t="s">
        <v>2863</v>
      </c>
      <c r="L559" t="s">
        <v>291</v>
      </c>
      <c r="M559" t="s">
        <v>2864</v>
      </c>
    </row>
    <row r="560" spans="1:13" x14ac:dyDescent="0.25">
      <c r="A560">
        <v>4002798</v>
      </c>
      <c r="B560" t="s">
        <v>2865</v>
      </c>
      <c r="C560" t="str">
        <f>"9783110060058"</f>
        <v>9783110060058</v>
      </c>
      <c r="D560" t="str">
        <f>"9783110888225"</f>
        <v>9783110888225</v>
      </c>
      <c r="E560" t="s">
        <v>270</v>
      </c>
      <c r="F560" s="1">
        <v>27515</v>
      </c>
      <c r="G560" t="s">
        <v>2866</v>
      </c>
      <c r="H560" t="s">
        <v>239</v>
      </c>
      <c r="L560" t="s">
        <v>291</v>
      </c>
      <c r="M560" t="s">
        <v>2867</v>
      </c>
    </row>
    <row r="561" spans="1:13" x14ac:dyDescent="0.25">
      <c r="A561">
        <v>4006785</v>
      </c>
      <c r="B561" t="s">
        <v>2868</v>
      </c>
      <c r="C561" t="str">
        <f>"9783110266337"</f>
        <v>9783110266337</v>
      </c>
      <c r="D561" t="str">
        <f>"9783110266344"</f>
        <v>9783110266344</v>
      </c>
      <c r="E561" t="s">
        <v>270</v>
      </c>
      <c r="F561" s="1">
        <v>41197</v>
      </c>
      <c r="G561" t="s">
        <v>2869</v>
      </c>
      <c r="H561" t="s">
        <v>139</v>
      </c>
      <c r="I561" t="s">
        <v>2870</v>
      </c>
      <c r="J561">
        <v>930.1</v>
      </c>
      <c r="K561" t="s">
        <v>2871</v>
      </c>
      <c r="L561" t="s">
        <v>291</v>
      </c>
      <c r="M561" t="s">
        <v>2872</v>
      </c>
    </row>
    <row r="562" spans="1:13" x14ac:dyDescent="0.25">
      <c r="A562">
        <v>4006786</v>
      </c>
      <c r="B562" t="s">
        <v>2873</v>
      </c>
      <c r="C562" t="str">
        <f>"9783110265934"</f>
        <v>9783110265934</v>
      </c>
      <c r="D562" t="str">
        <f>"9783110266429"</f>
        <v>9783110266429</v>
      </c>
      <c r="E562" t="s">
        <v>270</v>
      </c>
      <c r="F562" s="1">
        <v>41197</v>
      </c>
      <c r="G562" t="s">
        <v>2874</v>
      </c>
      <c r="H562" t="s">
        <v>70</v>
      </c>
      <c r="J562">
        <v>870.93583760000001</v>
      </c>
      <c r="L562" t="s">
        <v>291</v>
      </c>
      <c r="M562" t="s">
        <v>2875</v>
      </c>
    </row>
    <row r="563" spans="1:13" x14ac:dyDescent="0.25">
      <c r="A563">
        <v>4006817</v>
      </c>
      <c r="B563" t="s">
        <v>2876</v>
      </c>
      <c r="C563" t="str">
        <f>"9783110376197"</f>
        <v>9783110376197</v>
      </c>
      <c r="D563" t="str">
        <f>"9783110376616"</f>
        <v>9783110376616</v>
      </c>
      <c r="E563" t="s">
        <v>270</v>
      </c>
      <c r="F563" s="1">
        <v>42272</v>
      </c>
      <c r="G563" t="s">
        <v>2877</v>
      </c>
      <c r="H563" t="s">
        <v>30</v>
      </c>
      <c r="I563" t="s">
        <v>2878</v>
      </c>
      <c r="J563">
        <v>323</v>
      </c>
      <c r="K563" t="s">
        <v>2879</v>
      </c>
      <c r="L563" t="s">
        <v>20</v>
      </c>
      <c r="M563" t="s">
        <v>2880</v>
      </c>
    </row>
    <row r="564" spans="1:13" x14ac:dyDescent="0.25">
      <c r="A564">
        <v>4006855</v>
      </c>
      <c r="B564" t="s">
        <v>2881</v>
      </c>
      <c r="C564" t="str">
        <f>"9783110406511"</f>
        <v>9783110406511</v>
      </c>
      <c r="D564" t="str">
        <f>"9783110440362"</f>
        <v>9783110440362</v>
      </c>
      <c r="E564" t="s">
        <v>270</v>
      </c>
      <c r="F564" s="1">
        <v>42272</v>
      </c>
      <c r="G564" t="s">
        <v>2882</v>
      </c>
      <c r="H564" t="s">
        <v>70</v>
      </c>
      <c r="I564" t="s">
        <v>2883</v>
      </c>
      <c r="J564" t="s">
        <v>2884</v>
      </c>
      <c r="L564" t="s">
        <v>291</v>
      </c>
      <c r="M564" t="s">
        <v>2885</v>
      </c>
    </row>
    <row r="565" spans="1:13" x14ac:dyDescent="0.25">
      <c r="A565">
        <v>4008258</v>
      </c>
      <c r="B565" t="s">
        <v>2886</v>
      </c>
      <c r="C565" t="str">
        <f>"9783598116155"</f>
        <v>9783598116155</v>
      </c>
      <c r="D565" t="str">
        <f>"9783110967951"</f>
        <v>9783110967951</v>
      </c>
      <c r="E565" t="s">
        <v>350</v>
      </c>
      <c r="F565" s="1">
        <v>37606</v>
      </c>
      <c r="G565" t="s">
        <v>2887</v>
      </c>
      <c r="H565" t="s">
        <v>139</v>
      </c>
      <c r="I565" t="s">
        <v>2888</v>
      </c>
      <c r="J565" t="s">
        <v>2889</v>
      </c>
      <c r="K565" t="s">
        <v>2890</v>
      </c>
      <c r="L565" t="s">
        <v>291</v>
      </c>
      <c r="M565" t="s">
        <v>2891</v>
      </c>
    </row>
    <row r="566" spans="1:13" x14ac:dyDescent="0.25">
      <c r="A566">
        <v>4008259</v>
      </c>
      <c r="B566" t="s">
        <v>2892</v>
      </c>
      <c r="C566" t="str">
        <f>"9783598116216"</f>
        <v>9783598116216</v>
      </c>
      <c r="D566" t="str">
        <f>"9783110949995"</f>
        <v>9783110949995</v>
      </c>
      <c r="E566" t="s">
        <v>270</v>
      </c>
      <c r="F566" s="1">
        <v>37608</v>
      </c>
      <c r="G566" t="s">
        <v>2893</v>
      </c>
      <c r="H566" t="s">
        <v>139</v>
      </c>
      <c r="I566" t="s">
        <v>2894</v>
      </c>
      <c r="J566">
        <v>943.17087400000003</v>
      </c>
      <c r="K566" t="s">
        <v>2895</v>
      </c>
      <c r="L566" t="s">
        <v>291</v>
      </c>
      <c r="M566" t="s">
        <v>2896</v>
      </c>
    </row>
    <row r="567" spans="1:13" x14ac:dyDescent="0.25">
      <c r="A567">
        <v>4008734</v>
      </c>
      <c r="B567" t="s">
        <v>2897</v>
      </c>
      <c r="C567" t="str">
        <f>"9783899494372"</f>
        <v>9783899494372</v>
      </c>
      <c r="D567" t="str">
        <f>"9783110977097"</f>
        <v>9783110977097</v>
      </c>
      <c r="E567" t="s">
        <v>270</v>
      </c>
      <c r="F567" s="1">
        <v>39566</v>
      </c>
      <c r="G567" t="s">
        <v>2898</v>
      </c>
      <c r="H567" t="s">
        <v>239</v>
      </c>
      <c r="L567" t="s">
        <v>291</v>
      </c>
      <c r="M567" t="s">
        <v>2899</v>
      </c>
    </row>
    <row r="568" spans="1:13" x14ac:dyDescent="0.25">
      <c r="A568">
        <v>4009290</v>
      </c>
      <c r="B568" t="s">
        <v>2900</v>
      </c>
      <c r="C568" t="str">
        <f>"9783110414325"</f>
        <v>9783110414325</v>
      </c>
      <c r="D568" t="str">
        <f>"9783110419665"</f>
        <v>9783110419665</v>
      </c>
      <c r="E568" t="s">
        <v>270</v>
      </c>
      <c r="F568" s="1">
        <v>42167</v>
      </c>
      <c r="G568" t="s">
        <v>2901</v>
      </c>
      <c r="H568" t="s">
        <v>2902</v>
      </c>
      <c r="L568" t="s">
        <v>291</v>
      </c>
      <c r="M568" t="s">
        <v>2903</v>
      </c>
    </row>
    <row r="569" spans="1:13" x14ac:dyDescent="0.25">
      <c r="A569">
        <v>4068092</v>
      </c>
      <c r="B569" t="s">
        <v>2904</v>
      </c>
      <c r="C569" t="str">
        <f>"9783319216737"</f>
        <v>9783319216737</v>
      </c>
      <c r="D569" t="str">
        <f>"9783319216744"</f>
        <v>9783319216744</v>
      </c>
      <c r="E569" t="s">
        <v>2905</v>
      </c>
      <c r="F569" s="1">
        <v>42303</v>
      </c>
      <c r="G569" t="s">
        <v>2907</v>
      </c>
      <c r="H569" t="s">
        <v>64</v>
      </c>
      <c r="I569" t="s">
        <v>2908</v>
      </c>
      <c r="J569">
        <v>300</v>
      </c>
      <c r="L569" t="s">
        <v>20</v>
      </c>
      <c r="M569" t="s">
        <v>2909</v>
      </c>
    </row>
    <row r="570" spans="1:13" x14ac:dyDescent="0.25">
      <c r="A570">
        <v>4081643</v>
      </c>
      <c r="B570" t="s">
        <v>2910</v>
      </c>
      <c r="C570" t="str">
        <f>"9783486560657"</f>
        <v>9783486560657</v>
      </c>
      <c r="D570" t="str">
        <f>"9783486718232"</f>
        <v>9783486718232</v>
      </c>
      <c r="E570" t="s">
        <v>350</v>
      </c>
      <c r="F570" s="1">
        <v>34647</v>
      </c>
      <c r="G570" t="s">
        <v>2911</v>
      </c>
      <c r="H570" t="s">
        <v>139</v>
      </c>
      <c r="L570" t="s">
        <v>291</v>
      </c>
      <c r="M570" t="s">
        <v>2912</v>
      </c>
    </row>
    <row r="571" spans="1:13" x14ac:dyDescent="0.25">
      <c r="A571">
        <v>4101871</v>
      </c>
      <c r="B571" t="s">
        <v>2913</v>
      </c>
      <c r="C571" t="str">
        <f>"9783110452433"</f>
        <v>9783110452433</v>
      </c>
      <c r="D571" t="str">
        <f>"9783110452440"</f>
        <v>9783110452440</v>
      </c>
      <c r="E571" t="s">
        <v>350</v>
      </c>
      <c r="F571" s="1">
        <v>42247</v>
      </c>
      <c r="G571" t="s">
        <v>2914</v>
      </c>
      <c r="H571" t="s">
        <v>2915</v>
      </c>
      <c r="I571" t="s">
        <v>2916</v>
      </c>
      <c r="J571">
        <v>362.1</v>
      </c>
      <c r="K571" t="s">
        <v>2917</v>
      </c>
      <c r="L571" t="s">
        <v>20</v>
      </c>
      <c r="M571" t="s">
        <v>2918</v>
      </c>
    </row>
    <row r="572" spans="1:13" x14ac:dyDescent="0.25">
      <c r="A572">
        <v>4179732</v>
      </c>
      <c r="B572" t="s">
        <v>2919</v>
      </c>
      <c r="C572" t="str">
        <f>"9783110438284"</f>
        <v>9783110438284</v>
      </c>
      <c r="D572" t="str">
        <f>"9783110438291"</f>
        <v>9783110438291</v>
      </c>
      <c r="E572" t="s">
        <v>350</v>
      </c>
      <c r="F572" s="1">
        <v>42422</v>
      </c>
      <c r="G572" t="s">
        <v>2920</v>
      </c>
      <c r="H572" t="s">
        <v>806</v>
      </c>
      <c r="I572" t="s">
        <v>2921</v>
      </c>
      <c r="J572">
        <v>720.92</v>
      </c>
      <c r="K572" t="s">
        <v>2922</v>
      </c>
      <c r="L572" t="s">
        <v>20</v>
      </c>
      <c r="M572" t="s">
        <v>2923</v>
      </c>
    </row>
    <row r="573" spans="1:13" x14ac:dyDescent="0.25">
      <c r="A573">
        <v>4179733</v>
      </c>
      <c r="B573" t="s">
        <v>2924</v>
      </c>
      <c r="C573" t="str">
        <f>"9783110439724"</f>
        <v>9783110439724</v>
      </c>
      <c r="D573" t="str">
        <f>"9783110439731"</f>
        <v>9783110439731</v>
      </c>
      <c r="E573" t="s">
        <v>350</v>
      </c>
      <c r="F573" s="1">
        <v>42261</v>
      </c>
      <c r="G573" t="s">
        <v>2925</v>
      </c>
      <c r="H573" t="s">
        <v>64</v>
      </c>
      <c r="I573" t="s">
        <v>2926</v>
      </c>
      <c r="J573">
        <v>393.09399999999999</v>
      </c>
      <c r="K573" t="s">
        <v>2927</v>
      </c>
      <c r="L573" t="s">
        <v>20</v>
      </c>
      <c r="M573" t="s">
        <v>2928</v>
      </c>
    </row>
    <row r="574" spans="1:13" x14ac:dyDescent="0.25">
      <c r="A574">
        <v>4179734</v>
      </c>
      <c r="B574" t="s">
        <v>2929</v>
      </c>
      <c r="C574" t="str">
        <f>"9783110439748"</f>
        <v>9783110439748</v>
      </c>
      <c r="D574" t="str">
        <f>"9783110439755"</f>
        <v>9783110439755</v>
      </c>
      <c r="E574" t="s">
        <v>350</v>
      </c>
      <c r="F574" s="1">
        <v>42306</v>
      </c>
      <c r="G574" t="s">
        <v>2930</v>
      </c>
      <c r="H574" t="s">
        <v>743</v>
      </c>
      <c r="I574" t="s">
        <v>2931</v>
      </c>
      <c r="J574">
        <v>306.09559999999999</v>
      </c>
      <c r="K574" t="s">
        <v>2932</v>
      </c>
      <c r="L574" t="s">
        <v>20</v>
      </c>
      <c r="M574" t="s">
        <v>2933</v>
      </c>
    </row>
    <row r="575" spans="1:13" x14ac:dyDescent="0.25">
      <c r="A575">
        <v>4179735</v>
      </c>
      <c r="B575" t="s">
        <v>2934</v>
      </c>
      <c r="C575" t="str">
        <f>"9783110440164"</f>
        <v>9783110440164</v>
      </c>
      <c r="D575" t="str">
        <f>"9783110440171"</f>
        <v>9783110440171</v>
      </c>
      <c r="E575" t="s">
        <v>350</v>
      </c>
      <c r="F575" s="1">
        <v>42335</v>
      </c>
      <c r="G575" t="s">
        <v>2935</v>
      </c>
      <c r="H575" t="s">
        <v>2936</v>
      </c>
      <c r="I575" t="s">
        <v>2937</v>
      </c>
      <c r="J575">
        <v>930.1</v>
      </c>
      <c r="K575" t="s">
        <v>2938</v>
      </c>
      <c r="L575" t="s">
        <v>20</v>
      </c>
      <c r="M575" t="s">
        <v>2939</v>
      </c>
    </row>
    <row r="576" spans="1:13" x14ac:dyDescent="0.25">
      <c r="A576">
        <v>4179759</v>
      </c>
      <c r="B576" t="s">
        <v>2940</v>
      </c>
      <c r="C576" t="str">
        <f>"9783110426830"</f>
        <v>9783110426830</v>
      </c>
      <c r="D576" t="str">
        <f>"9783110424713"</f>
        <v>9783110424713</v>
      </c>
      <c r="E576" t="s">
        <v>270</v>
      </c>
      <c r="F576" s="1">
        <v>42335</v>
      </c>
      <c r="G576" t="s">
        <v>2941</v>
      </c>
      <c r="H576" t="s">
        <v>239</v>
      </c>
      <c r="I576" t="s">
        <v>2942</v>
      </c>
      <c r="J576">
        <v>346.06599999999901</v>
      </c>
      <c r="K576" t="s">
        <v>2943</v>
      </c>
      <c r="L576" t="s">
        <v>291</v>
      </c>
      <c r="M576" t="s">
        <v>2944</v>
      </c>
    </row>
    <row r="577" spans="1:13" x14ac:dyDescent="0.25">
      <c r="A577">
        <v>4179767</v>
      </c>
      <c r="B577" t="s">
        <v>2945</v>
      </c>
      <c r="C577" t="str">
        <f>"9783110376340"</f>
        <v>9783110376340</v>
      </c>
      <c r="D577" t="str">
        <f>"9783110376357"</f>
        <v>9783110376357</v>
      </c>
      <c r="E577" t="s">
        <v>350</v>
      </c>
      <c r="F577" s="1">
        <v>42293</v>
      </c>
      <c r="G577" t="s">
        <v>2946</v>
      </c>
      <c r="H577" t="s">
        <v>232</v>
      </c>
      <c r="I577" t="s">
        <v>2947</v>
      </c>
      <c r="J577">
        <v>907.2</v>
      </c>
      <c r="K577" t="s">
        <v>2948</v>
      </c>
      <c r="L577" t="s">
        <v>291</v>
      </c>
      <c r="M577" t="s">
        <v>2949</v>
      </c>
    </row>
    <row r="578" spans="1:13" x14ac:dyDescent="0.25">
      <c r="A578">
        <v>4179778</v>
      </c>
      <c r="B578" t="s">
        <v>2950</v>
      </c>
      <c r="C578" t="str">
        <f>"9783110444124"</f>
        <v>9783110444124</v>
      </c>
      <c r="D578" t="str">
        <f>"9783110444414"</f>
        <v>9783110444414</v>
      </c>
      <c r="E578" t="s">
        <v>350</v>
      </c>
      <c r="F578" s="1">
        <v>42293</v>
      </c>
      <c r="G578" t="s">
        <v>2951</v>
      </c>
      <c r="H578" t="s">
        <v>64</v>
      </c>
      <c r="I578" t="s">
        <v>2952</v>
      </c>
      <c r="J578">
        <v>305.26094000000001</v>
      </c>
      <c r="K578" t="s">
        <v>2953</v>
      </c>
      <c r="L578" t="s">
        <v>20</v>
      </c>
      <c r="M578" t="s">
        <v>2954</v>
      </c>
    </row>
    <row r="579" spans="1:13" x14ac:dyDescent="0.25">
      <c r="A579">
        <v>4179784</v>
      </c>
      <c r="B579" t="s">
        <v>2955</v>
      </c>
      <c r="C579" t="str">
        <f>"9783110455304"</f>
        <v>9783110455304</v>
      </c>
      <c r="D579" t="str">
        <f>"9783110455311"</f>
        <v>9783110455311</v>
      </c>
      <c r="E579" t="s">
        <v>350</v>
      </c>
      <c r="F579" s="1">
        <v>42293</v>
      </c>
      <c r="G579" t="s">
        <v>2956</v>
      </c>
      <c r="H579" t="s">
        <v>743</v>
      </c>
      <c r="I579" t="s">
        <v>2957</v>
      </c>
      <c r="J579" t="s">
        <v>2958</v>
      </c>
      <c r="K579" t="s">
        <v>2959</v>
      </c>
      <c r="L579" t="s">
        <v>20</v>
      </c>
      <c r="M579" t="s">
        <v>2960</v>
      </c>
    </row>
    <row r="580" spans="1:13" x14ac:dyDescent="0.25">
      <c r="A580">
        <v>4179793</v>
      </c>
      <c r="B580" t="s">
        <v>2961</v>
      </c>
      <c r="C580" t="str">
        <f>"9783110450545"</f>
        <v>9783110450545</v>
      </c>
      <c r="D580" t="str">
        <f>"9783110450552"</f>
        <v>9783110450552</v>
      </c>
      <c r="E580" t="s">
        <v>350</v>
      </c>
      <c r="F580" s="1">
        <v>42384</v>
      </c>
      <c r="G580" t="s">
        <v>2962</v>
      </c>
      <c r="H580" t="s">
        <v>363</v>
      </c>
      <c r="I580" t="s">
        <v>2963</v>
      </c>
      <c r="J580">
        <v>378.17340000000002</v>
      </c>
      <c r="K580" t="s">
        <v>2964</v>
      </c>
      <c r="L580" t="s">
        <v>20</v>
      </c>
      <c r="M580" t="s">
        <v>2965</v>
      </c>
    </row>
    <row r="581" spans="1:13" x14ac:dyDescent="0.25">
      <c r="A581">
        <v>4179794</v>
      </c>
      <c r="B581" t="s">
        <v>2966</v>
      </c>
      <c r="C581" t="str">
        <f>"9783110450569"</f>
        <v>9783110450569</v>
      </c>
      <c r="D581" t="str">
        <f>"9783110450576"</f>
        <v>9783110450576</v>
      </c>
      <c r="E581" t="s">
        <v>350</v>
      </c>
      <c r="F581" s="1">
        <v>42398</v>
      </c>
      <c r="G581" t="s">
        <v>2967</v>
      </c>
      <c r="H581" t="s">
        <v>851</v>
      </c>
      <c r="I581" t="s">
        <v>2968</v>
      </c>
      <c r="J581">
        <v>410</v>
      </c>
      <c r="K581" t="s">
        <v>2969</v>
      </c>
      <c r="L581" t="s">
        <v>20</v>
      </c>
      <c r="M581" t="s">
        <v>2970</v>
      </c>
    </row>
    <row r="582" spans="1:13" x14ac:dyDescent="0.25">
      <c r="A582">
        <v>4179795</v>
      </c>
      <c r="B582" t="s">
        <v>2971</v>
      </c>
      <c r="C582" t="str">
        <f>"9783110455397"</f>
        <v>9783110455397</v>
      </c>
      <c r="D582" t="str">
        <f>"9783110455403"</f>
        <v>9783110455403</v>
      </c>
      <c r="E582" t="s">
        <v>350</v>
      </c>
      <c r="F582" s="1">
        <v>42422</v>
      </c>
      <c r="G582" t="s">
        <v>2972</v>
      </c>
      <c r="H582" t="s">
        <v>2973</v>
      </c>
      <c r="I582" t="s">
        <v>2974</v>
      </c>
      <c r="J582">
        <v>338.16</v>
      </c>
      <c r="K582" t="s">
        <v>2975</v>
      </c>
      <c r="L582" t="s">
        <v>20</v>
      </c>
      <c r="M582" t="s">
        <v>2976</v>
      </c>
    </row>
    <row r="583" spans="1:13" x14ac:dyDescent="0.25">
      <c r="A583">
        <v>4179796</v>
      </c>
      <c r="B583" t="s">
        <v>2977</v>
      </c>
      <c r="C583" t="str">
        <f>"9783110468236"</f>
        <v>9783110468236</v>
      </c>
      <c r="D583" t="str">
        <f>"9783110468243"</f>
        <v>9783110468243</v>
      </c>
      <c r="E583" t="s">
        <v>350</v>
      </c>
      <c r="F583" s="1">
        <v>42422</v>
      </c>
      <c r="G583" t="s">
        <v>1379</v>
      </c>
      <c r="H583" t="s">
        <v>2978</v>
      </c>
      <c r="I583" t="s">
        <v>2979</v>
      </c>
      <c r="J583">
        <v>338.47910994</v>
      </c>
      <c r="K583" t="s">
        <v>2980</v>
      </c>
      <c r="L583" t="s">
        <v>20</v>
      </c>
      <c r="M583" t="s">
        <v>2981</v>
      </c>
    </row>
    <row r="584" spans="1:13" x14ac:dyDescent="0.25">
      <c r="A584">
        <v>4191088</v>
      </c>
      <c r="B584" t="s">
        <v>2982</v>
      </c>
      <c r="C584" t="str">
        <f>"9783110415155"</f>
        <v>9783110415155</v>
      </c>
      <c r="D584" t="str">
        <f>"9783110415162"</f>
        <v>9783110415162</v>
      </c>
      <c r="E584" t="s">
        <v>350</v>
      </c>
      <c r="F584" s="1">
        <v>42335</v>
      </c>
      <c r="G584" t="s">
        <v>2983</v>
      </c>
      <c r="H584" t="s">
        <v>64</v>
      </c>
      <c r="I584" t="s">
        <v>2984</v>
      </c>
      <c r="J584">
        <v>305.51309400000002</v>
      </c>
      <c r="K584" t="s">
        <v>2985</v>
      </c>
      <c r="L584" t="s">
        <v>20</v>
      </c>
      <c r="M584" t="s">
        <v>2986</v>
      </c>
    </row>
    <row r="585" spans="1:13" x14ac:dyDescent="0.25">
      <c r="A585">
        <v>4230646</v>
      </c>
      <c r="B585" t="s">
        <v>2987</v>
      </c>
      <c r="C585" t="str">
        <f>"9783110417913"</f>
        <v>9783110417913</v>
      </c>
      <c r="D585" t="str">
        <f>"9783110417920"</f>
        <v>9783110417920</v>
      </c>
      <c r="E585" t="s">
        <v>270</v>
      </c>
      <c r="F585" s="1">
        <v>42356</v>
      </c>
      <c r="G585" t="s">
        <v>2988</v>
      </c>
      <c r="H585" t="s">
        <v>310</v>
      </c>
      <c r="I585" t="s">
        <v>2989</v>
      </c>
      <c r="J585" t="s">
        <v>2990</v>
      </c>
      <c r="K585" t="s">
        <v>2991</v>
      </c>
      <c r="L585" t="s">
        <v>20</v>
      </c>
      <c r="M585" t="s">
        <v>2992</v>
      </c>
    </row>
    <row r="586" spans="1:13" x14ac:dyDescent="0.25">
      <c r="A586">
        <v>4230873</v>
      </c>
      <c r="B586" t="s">
        <v>2993</v>
      </c>
      <c r="C586" t="str">
        <f>"9783110442779"</f>
        <v>9783110442779</v>
      </c>
      <c r="D586" t="str">
        <f>"9783110436730"</f>
        <v>9783110436730</v>
      </c>
      <c r="E586" t="s">
        <v>350</v>
      </c>
      <c r="F586" s="1">
        <v>42352</v>
      </c>
      <c r="G586" t="s">
        <v>2994</v>
      </c>
      <c r="H586" t="s">
        <v>70</v>
      </c>
      <c r="I586" t="s">
        <v>2995</v>
      </c>
      <c r="J586">
        <v>822.91399999999896</v>
      </c>
      <c r="L586" t="s">
        <v>291</v>
      </c>
      <c r="M586" t="s">
        <v>2996</v>
      </c>
    </row>
    <row r="587" spans="1:13" x14ac:dyDescent="0.25">
      <c r="A587">
        <v>4332907</v>
      </c>
      <c r="B587" t="s">
        <v>2997</v>
      </c>
      <c r="C587" t="str">
        <f>"9783110438659"</f>
        <v>9783110438659</v>
      </c>
      <c r="D587" t="str">
        <f>"9783110438666"</f>
        <v>9783110438666</v>
      </c>
      <c r="E587" t="s">
        <v>350</v>
      </c>
      <c r="F587" s="1">
        <v>42388</v>
      </c>
      <c r="G587" t="s">
        <v>2998</v>
      </c>
      <c r="H587" t="s">
        <v>2999</v>
      </c>
      <c r="I587" t="s">
        <v>3000</v>
      </c>
      <c r="J587">
        <v>577.17999999999995</v>
      </c>
      <c r="K587" t="s">
        <v>3001</v>
      </c>
      <c r="L587" t="s">
        <v>20</v>
      </c>
      <c r="M587" t="s">
        <v>3002</v>
      </c>
    </row>
    <row r="588" spans="1:13" x14ac:dyDescent="0.25">
      <c r="A588">
        <v>4332915</v>
      </c>
      <c r="B588" t="s">
        <v>3003</v>
      </c>
      <c r="C588" t="str">
        <f>"9783110450514"</f>
        <v>9783110450514</v>
      </c>
      <c r="D588" t="str">
        <f>"9783110450521"</f>
        <v>9783110450521</v>
      </c>
      <c r="E588" t="s">
        <v>350</v>
      </c>
      <c r="F588" s="1">
        <v>42398</v>
      </c>
      <c r="G588" t="s">
        <v>3004</v>
      </c>
      <c r="H588" t="s">
        <v>1586</v>
      </c>
      <c r="I588" t="s">
        <v>3005</v>
      </c>
      <c r="J588">
        <v>155.4</v>
      </c>
      <c r="K588" t="s">
        <v>3006</v>
      </c>
      <c r="L588" t="s">
        <v>20</v>
      </c>
      <c r="M588" t="s">
        <v>3007</v>
      </c>
    </row>
    <row r="589" spans="1:13" x14ac:dyDescent="0.25">
      <c r="A589">
        <v>4332916</v>
      </c>
      <c r="B589" t="s">
        <v>3008</v>
      </c>
      <c r="C589" t="str">
        <f>"9783110450491"</f>
        <v>9783110450491</v>
      </c>
      <c r="D589" t="str">
        <f>"9783110450507"</f>
        <v>9783110450507</v>
      </c>
      <c r="E589" t="s">
        <v>350</v>
      </c>
      <c r="F589" s="1">
        <v>42353</v>
      </c>
      <c r="G589" t="s">
        <v>3009</v>
      </c>
      <c r="H589" t="s">
        <v>3010</v>
      </c>
      <c r="I589" t="s">
        <v>3011</v>
      </c>
      <c r="J589">
        <v>338.92700000000002</v>
      </c>
      <c r="K589" t="s">
        <v>3012</v>
      </c>
      <c r="L589" t="s">
        <v>20</v>
      </c>
      <c r="M589" t="s">
        <v>3013</v>
      </c>
    </row>
    <row r="590" spans="1:13" x14ac:dyDescent="0.25">
      <c r="A590">
        <v>4332917</v>
      </c>
      <c r="B590" t="s">
        <v>3014</v>
      </c>
      <c r="C590" t="str">
        <f>"9783110467994"</f>
        <v>9783110467994</v>
      </c>
      <c r="D590" t="str">
        <f>"9783110468007"</f>
        <v>9783110468007</v>
      </c>
      <c r="E590" t="s">
        <v>350</v>
      </c>
      <c r="F590" s="1">
        <v>42422</v>
      </c>
      <c r="G590" t="s">
        <v>3015</v>
      </c>
      <c r="H590" t="s">
        <v>266</v>
      </c>
      <c r="I590" t="s">
        <v>3016</v>
      </c>
      <c r="J590">
        <v>616.24</v>
      </c>
      <c r="K590" t="s">
        <v>3017</v>
      </c>
      <c r="L590" t="s">
        <v>20</v>
      </c>
      <c r="M590" t="s">
        <v>3018</v>
      </c>
    </row>
    <row r="591" spans="1:13" x14ac:dyDescent="0.25">
      <c r="A591">
        <v>4332918</v>
      </c>
      <c r="B591" t="s">
        <v>3019</v>
      </c>
      <c r="C591" t="str">
        <f>"9783110471199"</f>
        <v>9783110471199</v>
      </c>
      <c r="D591" t="str">
        <f>"9783110471243"</f>
        <v>9783110471243</v>
      </c>
      <c r="E591" t="s">
        <v>350</v>
      </c>
      <c r="F591" s="1">
        <v>42422</v>
      </c>
      <c r="G591" t="s">
        <v>3020</v>
      </c>
      <c r="H591" t="s">
        <v>64</v>
      </c>
      <c r="I591" t="s">
        <v>3021</v>
      </c>
      <c r="J591">
        <v>303.66000000000003</v>
      </c>
      <c r="K591" t="s">
        <v>3022</v>
      </c>
      <c r="L591" t="s">
        <v>20</v>
      </c>
      <c r="M591" t="s">
        <v>3023</v>
      </c>
    </row>
    <row r="592" spans="1:13" x14ac:dyDescent="0.25">
      <c r="A592">
        <v>4332919</v>
      </c>
      <c r="B592" t="s">
        <v>3024</v>
      </c>
      <c r="C592" t="str">
        <f>"9783110472080"</f>
        <v>9783110472080</v>
      </c>
      <c r="D592" t="str">
        <f>"9783110472097"</f>
        <v>9783110472097</v>
      </c>
      <c r="E592" t="s">
        <v>350</v>
      </c>
      <c r="F592" s="1">
        <v>42384</v>
      </c>
      <c r="G592" t="s">
        <v>3025</v>
      </c>
      <c r="H592" t="s">
        <v>1178</v>
      </c>
      <c r="I592" t="s">
        <v>3026</v>
      </c>
      <c r="J592">
        <v>515.83000000000004</v>
      </c>
      <c r="K592" t="s">
        <v>3027</v>
      </c>
      <c r="L592" t="s">
        <v>20</v>
      </c>
      <c r="M592" t="s">
        <v>3028</v>
      </c>
    </row>
    <row r="593" spans="1:13" x14ac:dyDescent="0.25">
      <c r="A593">
        <v>4338415</v>
      </c>
      <c r="B593" t="s">
        <v>3029</v>
      </c>
      <c r="C593" t="str">
        <f>"9781614517122"</f>
        <v>9781614517122</v>
      </c>
      <c r="D593" t="str">
        <f>"9781501501890"</f>
        <v>9781501501890</v>
      </c>
      <c r="E593" t="s">
        <v>270</v>
      </c>
      <c r="F593" s="1">
        <v>42360</v>
      </c>
      <c r="G593" t="s">
        <v>3030</v>
      </c>
      <c r="H593" t="s">
        <v>3031</v>
      </c>
      <c r="I593" t="s">
        <v>3032</v>
      </c>
      <c r="J593" t="s">
        <v>3033</v>
      </c>
      <c r="K593" t="s">
        <v>3034</v>
      </c>
      <c r="L593" t="s">
        <v>20</v>
      </c>
      <c r="M593" t="s">
        <v>3035</v>
      </c>
    </row>
    <row r="594" spans="1:13" x14ac:dyDescent="0.25">
      <c r="A594">
        <v>4338432</v>
      </c>
      <c r="B594" t="s">
        <v>3036</v>
      </c>
      <c r="C594" t="str">
        <f>"9783110335040"</f>
        <v>9783110335040</v>
      </c>
      <c r="D594" t="str">
        <f>"9783110345933"</f>
        <v>9783110345933</v>
      </c>
      <c r="E594" t="s">
        <v>270</v>
      </c>
      <c r="F594" s="1">
        <v>42384</v>
      </c>
      <c r="G594" t="s">
        <v>3037</v>
      </c>
      <c r="H594" t="s">
        <v>16</v>
      </c>
      <c r="I594" t="s">
        <v>3038</v>
      </c>
      <c r="J594">
        <v>160</v>
      </c>
      <c r="K594" t="s">
        <v>3039</v>
      </c>
      <c r="L594" t="s">
        <v>291</v>
      </c>
      <c r="M594" t="s">
        <v>3040</v>
      </c>
    </row>
    <row r="595" spans="1:13" x14ac:dyDescent="0.25">
      <c r="A595">
        <v>4338464</v>
      </c>
      <c r="B595" t="s">
        <v>3041</v>
      </c>
      <c r="C595" t="str">
        <f>"9783110406351"</f>
        <v>9783110406351</v>
      </c>
      <c r="D595" t="str">
        <f>"9783110406542"</f>
        <v>9783110406542</v>
      </c>
      <c r="E595" t="s">
        <v>270</v>
      </c>
      <c r="F595" s="1">
        <v>42306</v>
      </c>
      <c r="G595" t="s">
        <v>2882</v>
      </c>
      <c r="H595" t="s">
        <v>70</v>
      </c>
      <c r="I595" t="s">
        <v>3042</v>
      </c>
      <c r="J595" t="s">
        <v>3043</v>
      </c>
      <c r="L595" t="s">
        <v>291</v>
      </c>
      <c r="M595" t="s">
        <v>3044</v>
      </c>
    </row>
    <row r="596" spans="1:13" x14ac:dyDescent="0.25">
      <c r="A596">
        <v>4338470</v>
      </c>
      <c r="B596" t="s">
        <v>3045</v>
      </c>
      <c r="C596" t="str">
        <f>"9783110409437"</f>
        <v>9783110409437</v>
      </c>
      <c r="D596" t="str">
        <f>"9783110411362"</f>
        <v>9783110411362</v>
      </c>
      <c r="E596" t="s">
        <v>270</v>
      </c>
      <c r="F596" s="1">
        <v>42321</v>
      </c>
      <c r="G596" t="s">
        <v>3046</v>
      </c>
      <c r="H596" t="s">
        <v>3047</v>
      </c>
      <c r="I596" t="s">
        <v>3048</v>
      </c>
      <c r="J596" t="s">
        <v>3049</v>
      </c>
      <c r="K596" t="s">
        <v>3050</v>
      </c>
      <c r="L596" t="s">
        <v>291</v>
      </c>
      <c r="M596" t="s">
        <v>3051</v>
      </c>
    </row>
    <row r="597" spans="1:13" x14ac:dyDescent="0.25">
      <c r="A597">
        <v>4340047</v>
      </c>
      <c r="B597" t="s">
        <v>3052</v>
      </c>
      <c r="C597" t="str">
        <f>"9781783740338"</f>
        <v>9781783740338</v>
      </c>
      <c r="D597" t="str">
        <f>"9781783740345"</f>
        <v>9781783740345</v>
      </c>
      <c r="E597" t="s">
        <v>2270</v>
      </c>
      <c r="F597" s="1">
        <v>42331</v>
      </c>
      <c r="G597" t="s">
        <v>2274</v>
      </c>
      <c r="H597" t="s">
        <v>16</v>
      </c>
      <c r="J597">
        <v>171.7</v>
      </c>
      <c r="L597" t="s">
        <v>20</v>
      </c>
      <c r="M597" t="s">
        <v>3053</v>
      </c>
    </row>
    <row r="598" spans="1:13" x14ac:dyDescent="0.25">
      <c r="A598">
        <v>4340048</v>
      </c>
      <c r="B598" t="s">
        <v>3054</v>
      </c>
      <c r="C598" t="str">
        <f>"9781783741892"</f>
        <v>9781783741892</v>
      </c>
      <c r="D598" t="str">
        <f>"9781783741908"</f>
        <v>9781783741908</v>
      </c>
      <c r="E598" t="s">
        <v>2270</v>
      </c>
      <c r="F598" s="1">
        <v>42353</v>
      </c>
      <c r="G598" t="s">
        <v>3055</v>
      </c>
      <c r="H598" t="s">
        <v>489</v>
      </c>
      <c r="L598" t="s">
        <v>20</v>
      </c>
      <c r="M598" t="s">
        <v>3056</v>
      </c>
    </row>
    <row r="599" spans="1:13" x14ac:dyDescent="0.25">
      <c r="A599">
        <v>4340049</v>
      </c>
      <c r="B599" t="s">
        <v>3057</v>
      </c>
      <c r="C599" t="str">
        <f>"9781783741946"</f>
        <v>9781783741946</v>
      </c>
      <c r="D599" t="str">
        <f>"9781783741953"</f>
        <v>9781783741953</v>
      </c>
      <c r="E599" t="s">
        <v>2270</v>
      </c>
      <c r="F599" s="1">
        <v>42323</v>
      </c>
      <c r="G599" t="s">
        <v>3058</v>
      </c>
      <c r="H599" t="s">
        <v>3059</v>
      </c>
      <c r="L599" t="s">
        <v>20</v>
      </c>
      <c r="M599" t="s">
        <v>3060</v>
      </c>
    </row>
    <row r="600" spans="1:13" x14ac:dyDescent="0.25">
      <c r="A600">
        <v>4340050</v>
      </c>
      <c r="B600" t="s">
        <v>3061</v>
      </c>
      <c r="C600" t="str">
        <f>"9781783742042"</f>
        <v>9781783742042</v>
      </c>
      <c r="D600" t="str">
        <f>"9781783742059"</f>
        <v>9781783742059</v>
      </c>
      <c r="E600" t="s">
        <v>2270</v>
      </c>
      <c r="F600" s="1">
        <v>42373</v>
      </c>
      <c r="G600" t="s">
        <v>3062</v>
      </c>
      <c r="H600" t="s">
        <v>16</v>
      </c>
      <c r="J600">
        <v>179.9</v>
      </c>
      <c r="L600" t="s">
        <v>20</v>
      </c>
      <c r="M600" t="s">
        <v>3063</v>
      </c>
    </row>
    <row r="601" spans="1:13" x14ac:dyDescent="0.25">
      <c r="A601">
        <v>4355749</v>
      </c>
      <c r="B601" t="s">
        <v>3064</v>
      </c>
      <c r="C601" t="str">
        <f>"9783110468748"</f>
        <v>9783110468748</v>
      </c>
      <c r="D601" t="str">
        <f>"9783110468755"</f>
        <v>9783110468755</v>
      </c>
      <c r="E601" t="s">
        <v>350</v>
      </c>
      <c r="F601" s="1">
        <v>42422</v>
      </c>
      <c r="G601" t="s">
        <v>3065</v>
      </c>
      <c r="H601" t="s">
        <v>817</v>
      </c>
      <c r="I601" t="s">
        <v>3066</v>
      </c>
      <c r="J601">
        <v>615.19000000000005</v>
      </c>
      <c r="K601" t="s">
        <v>3067</v>
      </c>
      <c r="L601" t="s">
        <v>20</v>
      </c>
      <c r="M601" t="s">
        <v>3068</v>
      </c>
    </row>
    <row r="602" spans="1:13" x14ac:dyDescent="0.25">
      <c r="A602">
        <v>4386693</v>
      </c>
      <c r="B602" t="s">
        <v>3069</v>
      </c>
      <c r="C602" t="str">
        <f>"9781783741687"</f>
        <v>9781783741687</v>
      </c>
      <c r="D602" t="str">
        <f>"9781783741694"</f>
        <v>9781783741694</v>
      </c>
      <c r="E602" t="s">
        <v>2270</v>
      </c>
      <c r="F602" s="1">
        <v>42285</v>
      </c>
      <c r="G602" t="s">
        <v>2274</v>
      </c>
      <c r="H602" t="s">
        <v>3070</v>
      </c>
      <c r="L602" t="s">
        <v>20</v>
      </c>
      <c r="M602" t="s">
        <v>3071</v>
      </c>
    </row>
    <row r="603" spans="1:13" x14ac:dyDescent="0.25">
      <c r="A603">
        <v>4386694</v>
      </c>
      <c r="B603" t="s">
        <v>3072</v>
      </c>
      <c r="C603" t="str">
        <f>"9781783741731"</f>
        <v>9781783741731</v>
      </c>
      <c r="D603" t="str">
        <f>"9781783741748"</f>
        <v>9781783741748</v>
      </c>
      <c r="E603" t="s">
        <v>2270</v>
      </c>
      <c r="F603" s="1">
        <v>42248</v>
      </c>
      <c r="G603" t="s">
        <v>3073</v>
      </c>
      <c r="H603" t="s">
        <v>70</v>
      </c>
      <c r="L603" t="s">
        <v>20</v>
      </c>
      <c r="M603" t="s">
        <v>3074</v>
      </c>
    </row>
    <row r="604" spans="1:13" x14ac:dyDescent="0.25">
      <c r="A604">
        <v>4386695</v>
      </c>
      <c r="B604" t="s">
        <v>3075</v>
      </c>
      <c r="C604" t="str">
        <f>"9781783741533"</f>
        <v>9781783741533</v>
      </c>
      <c r="D604" t="str">
        <f>"9781783741540"</f>
        <v>9781783741540</v>
      </c>
      <c r="E604" t="s">
        <v>2270</v>
      </c>
      <c r="F604" s="1">
        <v>42233</v>
      </c>
      <c r="G604" t="s">
        <v>3076</v>
      </c>
      <c r="H604" t="s">
        <v>246</v>
      </c>
      <c r="L604" t="s">
        <v>20</v>
      </c>
      <c r="M604" t="s">
        <v>3077</v>
      </c>
    </row>
    <row r="605" spans="1:13" x14ac:dyDescent="0.25">
      <c r="A605">
        <v>4386696</v>
      </c>
      <c r="B605" t="s">
        <v>3078</v>
      </c>
      <c r="C605" t="str">
        <f>"9781783740987"</f>
        <v>9781783740987</v>
      </c>
      <c r="D605" t="str">
        <f>"9781783740994"</f>
        <v>9781783740994</v>
      </c>
      <c r="E605" t="s">
        <v>2270</v>
      </c>
      <c r="F605" s="1">
        <v>42242</v>
      </c>
      <c r="G605" t="s">
        <v>3079</v>
      </c>
      <c r="H605" t="s">
        <v>108</v>
      </c>
      <c r="L605" t="s">
        <v>20</v>
      </c>
      <c r="M605" t="s">
        <v>3080</v>
      </c>
    </row>
    <row r="606" spans="1:13" x14ac:dyDescent="0.25">
      <c r="A606">
        <v>4386697</v>
      </c>
      <c r="B606" t="s">
        <v>3081</v>
      </c>
      <c r="C606" t="str">
        <f>"9781783741038"</f>
        <v>9781783741038</v>
      </c>
      <c r="D606" t="str">
        <f>"9781783741045"</f>
        <v>9781783741045</v>
      </c>
      <c r="E606" t="s">
        <v>2270</v>
      </c>
      <c r="F606" s="1">
        <v>42282</v>
      </c>
      <c r="G606" t="s">
        <v>3082</v>
      </c>
      <c r="H606" t="s">
        <v>3083</v>
      </c>
      <c r="L606" t="s">
        <v>20</v>
      </c>
      <c r="M606" t="s">
        <v>3084</v>
      </c>
    </row>
    <row r="607" spans="1:13" x14ac:dyDescent="0.25">
      <c r="A607">
        <v>4386698</v>
      </c>
      <c r="B607" t="s">
        <v>3085</v>
      </c>
      <c r="C607" t="str">
        <f>"9781783741335"</f>
        <v>9781783741335</v>
      </c>
      <c r="D607" t="str">
        <f>"9781783741342"</f>
        <v>9781783741342</v>
      </c>
      <c r="E607" t="s">
        <v>2270</v>
      </c>
      <c r="F607" s="1">
        <v>42282</v>
      </c>
      <c r="G607" t="s">
        <v>3086</v>
      </c>
      <c r="H607" t="s">
        <v>3087</v>
      </c>
      <c r="L607" t="s">
        <v>20</v>
      </c>
      <c r="M607" t="s">
        <v>3088</v>
      </c>
    </row>
    <row r="608" spans="1:13" x14ac:dyDescent="0.25">
      <c r="A608">
        <v>4391547</v>
      </c>
      <c r="B608" t="s">
        <v>3089</v>
      </c>
      <c r="C608" t="str">
        <f>"9781783741427"</f>
        <v>9781783741427</v>
      </c>
      <c r="D608" t="str">
        <f>"9781783741441"</f>
        <v>9781783741441</v>
      </c>
      <c r="E608" t="s">
        <v>2270</v>
      </c>
      <c r="F608" s="1">
        <v>42394</v>
      </c>
      <c r="G608" t="s">
        <v>3090</v>
      </c>
      <c r="H608" t="s">
        <v>1178</v>
      </c>
      <c r="I608" t="s">
        <v>3091</v>
      </c>
      <c r="J608">
        <v>510.71100000000001</v>
      </c>
      <c r="K608" t="s">
        <v>3092</v>
      </c>
      <c r="L608" t="s">
        <v>20</v>
      </c>
      <c r="M608" t="s">
        <v>3093</v>
      </c>
    </row>
    <row r="609" spans="1:13" x14ac:dyDescent="0.25">
      <c r="A609">
        <v>4391548</v>
      </c>
      <c r="B609" t="s">
        <v>3094</v>
      </c>
      <c r="C609" t="str">
        <f>"9781783741991"</f>
        <v>9781783741991</v>
      </c>
      <c r="D609" t="str">
        <f>"9781783742004"</f>
        <v>9781783742004</v>
      </c>
      <c r="E609" t="s">
        <v>2270</v>
      </c>
      <c r="F609" s="1">
        <v>42387</v>
      </c>
      <c r="G609" t="s">
        <v>3095</v>
      </c>
      <c r="H609" t="s">
        <v>16</v>
      </c>
      <c r="J609">
        <v>170.42</v>
      </c>
      <c r="L609" t="s">
        <v>20</v>
      </c>
      <c r="M609" t="s">
        <v>3096</v>
      </c>
    </row>
    <row r="610" spans="1:13" x14ac:dyDescent="0.25">
      <c r="A610">
        <v>4391550</v>
      </c>
      <c r="B610" t="s">
        <v>3097</v>
      </c>
      <c r="C610" t="str">
        <f>"9781909254961"</f>
        <v>9781909254961</v>
      </c>
      <c r="D610" t="str">
        <f>"9781909254978"</f>
        <v>9781909254978</v>
      </c>
      <c r="E610" t="s">
        <v>2270</v>
      </c>
      <c r="F610" s="1">
        <v>42401</v>
      </c>
      <c r="G610" t="s">
        <v>3098</v>
      </c>
      <c r="H610" t="s">
        <v>70</v>
      </c>
      <c r="L610" t="s">
        <v>20</v>
      </c>
      <c r="M610" t="s">
        <v>3099</v>
      </c>
    </row>
    <row r="611" spans="1:13" x14ac:dyDescent="0.25">
      <c r="A611">
        <v>4401811</v>
      </c>
      <c r="B611" t="s">
        <v>3100</v>
      </c>
      <c r="C611" t="str">
        <f>"9783110444278"</f>
        <v>9783110444278</v>
      </c>
      <c r="D611" t="str">
        <f>"9783110444285"</f>
        <v>9783110444285</v>
      </c>
      <c r="E611" t="s">
        <v>350</v>
      </c>
      <c r="F611" s="1">
        <v>42398</v>
      </c>
      <c r="G611" t="s">
        <v>3101</v>
      </c>
      <c r="H611" t="s">
        <v>64</v>
      </c>
      <c r="I611" t="s">
        <v>3102</v>
      </c>
      <c r="J611">
        <v>306.30948000000001</v>
      </c>
      <c r="K611" t="s">
        <v>3103</v>
      </c>
      <c r="L611" t="s">
        <v>20</v>
      </c>
      <c r="M611" t="s">
        <v>3104</v>
      </c>
    </row>
    <row r="612" spans="1:13" x14ac:dyDescent="0.25">
      <c r="A612">
        <v>4401815</v>
      </c>
      <c r="B612" t="s">
        <v>3105</v>
      </c>
      <c r="C612" t="str">
        <f>"9783110444063"</f>
        <v>9783110444063</v>
      </c>
      <c r="D612" t="str">
        <f>"9783110453959"</f>
        <v>9783110453959</v>
      </c>
      <c r="E612" t="s">
        <v>350</v>
      </c>
      <c r="F612" s="1">
        <v>42321</v>
      </c>
      <c r="G612" t="s">
        <v>3106</v>
      </c>
      <c r="H612" t="s">
        <v>3107</v>
      </c>
      <c r="I612" t="s">
        <v>3108</v>
      </c>
      <c r="J612" t="s">
        <v>3109</v>
      </c>
      <c r="K612" t="s">
        <v>3110</v>
      </c>
      <c r="L612" t="s">
        <v>20</v>
      </c>
      <c r="M612" t="s">
        <v>3111</v>
      </c>
    </row>
    <row r="613" spans="1:13" x14ac:dyDescent="0.25">
      <c r="A613">
        <v>4412751</v>
      </c>
      <c r="B613" t="s">
        <v>3112</v>
      </c>
      <c r="C613" t="str">
        <f>"9780822360292"</f>
        <v>9780822360292</v>
      </c>
      <c r="D613" t="str">
        <f>"9780822374701"</f>
        <v>9780822374701</v>
      </c>
      <c r="E613" t="s">
        <v>3113</v>
      </c>
      <c r="F613" s="1">
        <v>42426</v>
      </c>
      <c r="G613" t="s">
        <v>3114</v>
      </c>
      <c r="H613" t="s">
        <v>146</v>
      </c>
      <c r="I613" t="s">
        <v>3115</v>
      </c>
      <c r="J613" t="s">
        <v>3116</v>
      </c>
      <c r="K613" t="s">
        <v>3117</v>
      </c>
      <c r="L613" t="s">
        <v>20</v>
      </c>
      <c r="M613" t="s">
        <v>3118</v>
      </c>
    </row>
    <row r="614" spans="1:13" x14ac:dyDescent="0.25">
      <c r="A614">
        <v>4426419</v>
      </c>
      <c r="B614" t="s">
        <v>3119</v>
      </c>
      <c r="C614" t="str">
        <f>"9783110309232"</f>
        <v>9783110309232</v>
      </c>
      <c r="D614" t="str">
        <f>"9783110311198"</f>
        <v>9783110311198</v>
      </c>
      <c r="E614" t="s">
        <v>350</v>
      </c>
      <c r="F614" s="1">
        <v>42422</v>
      </c>
      <c r="G614" t="s">
        <v>3120</v>
      </c>
      <c r="H614" t="s">
        <v>139</v>
      </c>
      <c r="I614" t="s">
        <v>3121</v>
      </c>
      <c r="J614">
        <v>958.45</v>
      </c>
      <c r="K614" t="s">
        <v>3122</v>
      </c>
      <c r="L614" t="s">
        <v>291</v>
      </c>
      <c r="M614" t="s">
        <v>3123</v>
      </c>
    </row>
    <row r="615" spans="1:13" x14ac:dyDescent="0.25">
      <c r="A615">
        <v>4426458</v>
      </c>
      <c r="B615" t="s">
        <v>3124</v>
      </c>
      <c r="C615" t="str">
        <f>"9783110468274"</f>
        <v>9783110468274</v>
      </c>
      <c r="D615" t="str">
        <f>"9783110468298"</f>
        <v>9783110468298</v>
      </c>
      <c r="E615" t="s">
        <v>350</v>
      </c>
      <c r="F615" s="1">
        <v>42422</v>
      </c>
      <c r="G615" t="s">
        <v>3125</v>
      </c>
      <c r="H615" t="s">
        <v>310</v>
      </c>
      <c r="I615" t="s">
        <v>3126</v>
      </c>
      <c r="J615">
        <v>272.09199999999998</v>
      </c>
      <c r="L615" t="s">
        <v>20</v>
      </c>
      <c r="M615" t="s">
        <v>3127</v>
      </c>
    </row>
    <row r="616" spans="1:13" x14ac:dyDescent="0.25">
      <c r="A616">
        <v>4426459</v>
      </c>
      <c r="B616" t="s">
        <v>3128</v>
      </c>
      <c r="C616" t="str">
        <f>"9783110469875"</f>
        <v>9783110469875</v>
      </c>
      <c r="D616" t="str">
        <f>"9783110469882"</f>
        <v>9783110469882</v>
      </c>
      <c r="E616" t="s">
        <v>350</v>
      </c>
      <c r="F616" s="1">
        <v>42398</v>
      </c>
      <c r="G616" t="s">
        <v>3129</v>
      </c>
      <c r="H616" t="s">
        <v>712</v>
      </c>
      <c r="I616" t="s">
        <v>3130</v>
      </c>
      <c r="J616">
        <v>4</v>
      </c>
      <c r="K616" t="s">
        <v>3131</v>
      </c>
      <c r="L616" t="s">
        <v>20</v>
      </c>
      <c r="M616" t="s">
        <v>3132</v>
      </c>
    </row>
    <row r="617" spans="1:13" x14ac:dyDescent="0.25">
      <c r="A617">
        <v>4426460</v>
      </c>
      <c r="B617" t="s">
        <v>3133</v>
      </c>
      <c r="C617" t="str">
        <f>"9783110470994"</f>
        <v>9783110470994</v>
      </c>
      <c r="D617" t="str">
        <f>"9783110471014"</f>
        <v>9783110471014</v>
      </c>
      <c r="E617" t="s">
        <v>350</v>
      </c>
      <c r="F617" s="1">
        <v>42398</v>
      </c>
      <c r="G617" t="s">
        <v>3134</v>
      </c>
      <c r="H617" t="s">
        <v>2742</v>
      </c>
      <c r="I617" t="s">
        <v>3135</v>
      </c>
      <c r="J617">
        <v>616.89</v>
      </c>
      <c r="L617" t="s">
        <v>20</v>
      </c>
      <c r="M617" t="s">
        <v>3136</v>
      </c>
    </row>
    <row r="618" spans="1:13" x14ac:dyDescent="0.25">
      <c r="A618">
        <v>4428572</v>
      </c>
      <c r="B618" t="s">
        <v>3137</v>
      </c>
      <c r="C618" t="str">
        <f>"9783486704815"</f>
        <v>9783486704815</v>
      </c>
      <c r="D618" t="str">
        <f>"9783486853766"</f>
        <v>9783486853766</v>
      </c>
      <c r="E618" t="s">
        <v>350</v>
      </c>
      <c r="F618" s="1">
        <v>40898</v>
      </c>
      <c r="G618" t="s">
        <v>3138</v>
      </c>
      <c r="H618" t="s">
        <v>139</v>
      </c>
      <c r="L618" t="s">
        <v>291</v>
      </c>
      <c r="M618" t="s">
        <v>3139</v>
      </c>
    </row>
    <row r="619" spans="1:13" x14ac:dyDescent="0.25">
      <c r="A619">
        <v>4428573</v>
      </c>
      <c r="B619" t="s">
        <v>3140</v>
      </c>
      <c r="C619" t="str">
        <f>"9783486591422"</f>
        <v>9783486591422</v>
      </c>
      <c r="D619" t="str">
        <f>"9783486851526"</f>
        <v>9783486851526</v>
      </c>
      <c r="E619" t="s">
        <v>350</v>
      </c>
      <c r="F619" s="1">
        <v>40751</v>
      </c>
      <c r="G619" t="s">
        <v>2788</v>
      </c>
      <c r="H619" t="s">
        <v>139</v>
      </c>
      <c r="J619">
        <v>929</v>
      </c>
      <c r="L619" t="s">
        <v>291</v>
      </c>
      <c r="M619" t="s">
        <v>3141</v>
      </c>
    </row>
    <row r="620" spans="1:13" x14ac:dyDescent="0.25">
      <c r="A620">
        <v>4443132</v>
      </c>
      <c r="B620" t="s">
        <v>3142</v>
      </c>
      <c r="C620" t="str">
        <f>"9789633860830"</f>
        <v>9789633860830</v>
      </c>
      <c r="D620" t="str">
        <f>"9789633860847"</f>
        <v>9789633860847</v>
      </c>
      <c r="E620" t="s">
        <v>2263</v>
      </c>
      <c r="F620" s="1">
        <v>42370</v>
      </c>
      <c r="G620" t="s">
        <v>3143</v>
      </c>
      <c r="H620" t="s">
        <v>246</v>
      </c>
      <c r="I620" t="s">
        <v>3144</v>
      </c>
      <c r="J620">
        <v>701.03</v>
      </c>
      <c r="K620" t="s">
        <v>3145</v>
      </c>
      <c r="L620" t="s">
        <v>20</v>
      </c>
      <c r="M620" t="s">
        <v>3146</v>
      </c>
    </row>
    <row r="621" spans="1:13" x14ac:dyDescent="0.25">
      <c r="A621">
        <v>4443134</v>
      </c>
      <c r="B621" t="s">
        <v>3147</v>
      </c>
      <c r="C621" t="str">
        <f>"9789633861226"</f>
        <v>9789633861226</v>
      </c>
      <c r="D621" t="str">
        <f>"9789633861462"</f>
        <v>9789633861462</v>
      </c>
      <c r="E621" t="s">
        <v>2263</v>
      </c>
      <c r="F621" s="1">
        <v>42370</v>
      </c>
      <c r="G621" t="s">
        <v>3148</v>
      </c>
      <c r="H621" t="s">
        <v>743</v>
      </c>
      <c r="I621" t="s">
        <v>3149</v>
      </c>
      <c r="J621">
        <v>305.89149703999999</v>
      </c>
      <c r="K621" t="s">
        <v>3150</v>
      </c>
      <c r="L621" t="s">
        <v>20</v>
      </c>
      <c r="M621" t="s">
        <v>3151</v>
      </c>
    </row>
    <row r="622" spans="1:13" x14ac:dyDescent="0.25">
      <c r="A622">
        <v>4443140</v>
      </c>
      <c r="B622" t="s">
        <v>3152</v>
      </c>
      <c r="C622" t="str">
        <f>"9789633860922"</f>
        <v>9789633860922</v>
      </c>
      <c r="D622" t="str">
        <f>"9789633860939"</f>
        <v>9789633860939</v>
      </c>
      <c r="E622" t="s">
        <v>2263</v>
      </c>
      <c r="F622" s="1">
        <v>42278</v>
      </c>
      <c r="G622" t="s">
        <v>3153</v>
      </c>
      <c r="H622" t="s">
        <v>780</v>
      </c>
      <c r="I622" t="s">
        <v>3154</v>
      </c>
      <c r="J622">
        <v>303</v>
      </c>
      <c r="K622" t="s">
        <v>3155</v>
      </c>
      <c r="L622" t="s">
        <v>20</v>
      </c>
      <c r="M622" t="s">
        <v>3156</v>
      </c>
    </row>
    <row r="623" spans="1:13" x14ac:dyDescent="0.25">
      <c r="A623">
        <v>4451852</v>
      </c>
      <c r="B623" t="s">
        <v>3157</v>
      </c>
      <c r="C623" t="str">
        <f>"9783110440355"</f>
        <v>9783110440355</v>
      </c>
      <c r="D623" t="str">
        <f>"9783110432619"</f>
        <v>9783110432619</v>
      </c>
      <c r="E623" t="s">
        <v>350</v>
      </c>
      <c r="F623" s="1">
        <v>42436</v>
      </c>
      <c r="G623" t="s">
        <v>3158</v>
      </c>
      <c r="H623" t="s">
        <v>266</v>
      </c>
      <c r="I623" t="s">
        <v>3159</v>
      </c>
      <c r="J623" t="s">
        <v>3160</v>
      </c>
      <c r="L623" t="s">
        <v>291</v>
      </c>
      <c r="M623" t="s">
        <v>3161</v>
      </c>
    </row>
    <row r="624" spans="1:13" x14ac:dyDescent="0.25">
      <c r="A624">
        <v>4451854</v>
      </c>
      <c r="B624" t="s">
        <v>3162</v>
      </c>
      <c r="C624" t="str">
        <f>"9783110443479"</f>
        <v>9783110443479</v>
      </c>
      <c r="D624" t="str">
        <f>"9783110444612"</f>
        <v>9783110444612</v>
      </c>
      <c r="E624" t="s">
        <v>350</v>
      </c>
      <c r="F624" s="1">
        <v>42436</v>
      </c>
      <c r="G624" t="s">
        <v>3163</v>
      </c>
      <c r="H624" t="s">
        <v>851</v>
      </c>
      <c r="I624" t="s">
        <v>3164</v>
      </c>
      <c r="J624">
        <v>409.4</v>
      </c>
      <c r="K624" t="s">
        <v>3165</v>
      </c>
      <c r="L624" t="s">
        <v>291</v>
      </c>
      <c r="M624" t="s">
        <v>3166</v>
      </c>
    </row>
    <row r="625" spans="1:13" x14ac:dyDescent="0.25">
      <c r="A625">
        <v>4508516</v>
      </c>
      <c r="B625" t="s">
        <v>3167</v>
      </c>
      <c r="C625" t="str">
        <f>"9783110412055"</f>
        <v>9783110412055</v>
      </c>
      <c r="D625" t="str">
        <f>"9783110419207"</f>
        <v>9783110419207</v>
      </c>
      <c r="E625" t="s">
        <v>350</v>
      </c>
      <c r="F625" s="1">
        <v>42471</v>
      </c>
      <c r="G625" t="s">
        <v>3168</v>
      </c>
      <c r="H625" t="s">
        <v>70</v>
      </c>
      <c r="I625" t="s">
        <v>3169</v>
      </c>
      <c r="J625">
        <v>883.01</v>
      </c>
      <c r="L625" t="s">
        <v>291</v>
      </c>
      <c r="M625" t="s">
        <v>3170</v>
      </c>
    </row>
    <row r="626" spans="1:13" x14ac:dyDescent="0.25">
      <c r="A626">
        <v>4508528</v>
      </c>
      <c r="B626" t="s">
        <v>3171</v>
      </c>
      <c r="C626" t="str">
        <f>"9783110440089"</f>
        <v>9783110440089</v>
      </c>
      <c r="D626" t="str">
        <f>"9783110440096"</f>
        <v>9783110440096</v>
      </c>
      <c r="E626" t="s">
        <v>350</v>
      </c>
      <c r="F626" s="1">
        <v>42485</v>
      </c>
      <c r="G626" t="s">
        <v>3172</v>
      </c>
      <c r="H626" t="s">
        <v>310</v>
      </c>
      <c r="I626" t="s">
        <v>3173</v>
      </c>
      <c r="J626">
        <v>221.92</v>
      </c>
      <c r="K626" t="s">
        <v>3174</v>
      </c>
      <c r="L626" t="s">
        <v>20</v>
      </c>
      <c r="M626" t="s">
        <v>3175</v>
      </c>
    </row>
    <row r="627" spans="1:13" x14ac:dyDescent="0.25">
      <c r="A627">
        <v>4508546</v>
      </c>
      <c r="B627" t="s">
        <v>3176</v>
      </c>
      <c r="C627" t="str">
        <f>"9783110468656"</f>
        <v>9783110468656</v>
      </c>
      <c r="D627" t="str">
        <f>"9783110468663"</f>
        <v>9783110468663</v>
      </c>
      <c r="E627" t="s">
        <v>350</v>
      </c>
      <c r="F627" s="1">
        <v>42450</v>
      </c>
      <c r="G627" t="s">
        <v>3177</v>
      </c>
      <c r="H627" t="s">
        <v>310</v>
      </c>
      <c r="I627" t="s">
        <v>3178</v>
      </c>
      <c r="J627">
        <v>210</v>
      </c>
      <c r="K627" t="s">
        <v>3179</v>
      </c>
      <c r="L627" t="s">
        <v>20</v>
      </c>
      <c r="M627" t="s">
        <v>3180</v>
      </c>
    </row>
    <row r="628" spans="1:13" x14ac:dyDescent="0.25">
      <c r="A628">
        <v>4508547</v>
      </c>
      <c r="B628" t="s">
        <v>3181</v>
      </c>
      <c r="C628" t="str">
        <f>"9783110469516"</f>
        <v>9783110469516</v>
      </c>
      <c r="D628" t="str">
        <f>"9783110469592"</f>
        <v>9783110469592</v>
      </c>
      <c r="E628" t="s">
        <v>350</v>
      </c>
      <c r="F628" s="1">
        <v>42485</v>
      </c>
      <c r="G628" t="s">
        <v>3182</v>
      </c>
      <c r="H628" t="s">
        <v>146</v>
      </c>
      <c r="I628" t="s">
        <v>3183</v>
      </c>
      <c r="J628">
        <v>327.47052000000002</v>
      </c>
      <c r="K628" t="s">
        <v>3184</v>
      </c>
      <c r="L628" t="s">
        <v>20</v>
      </c>
      <c r="M628" t="s">
        <v>3185</v>
      </c>
    </row>
    <row r="629" spans="1:13" x14ac:dyDescent="0.25">
      <c r="A629">
        <v>4512191</v>
      </c>
      <c r="B629" t="s">
        <v>3186</v>
      </c>
      <c r="C629" t="str">
        <f>"9781783741380"</f>
        <v>9781783741380</v>
      </c>
      <c r="D629" t="str">
        <f>"9781783741397"</f>
        <v>9781783741397</v>
      </c>
      <c r="E629" t="s">
        <v>2270</v>
      </c>
      <c r="F629" s="1">
        <v>42408</v>
      </c>
      <c r="G629" t="s">
        <v>3187</v>
      </c>
      <c r="H629" t="s">
        <v>1178</v>
      </c>
      <c r="J629">
        <v>510.71199999999999</v>
      </c>
      <c r="L629" t="s">
        <v>20</v>
      </c>
      <c r="M629" t="s">
        <v>3188</v>
      </c>
    </row>
    <row r="630" spans="1:13" x14ac:dyDescent="0.25">
      <c r="A630">
        <v>4512192</v>
      </c>
      <c r="B630" t="s">
        <v>3189</v>
      </c>
      <c r="C630" t="str">
        <f>"9781783741847"</f>
        <v>9781783741847</v>
      </c>
      <c r="D630" t="str">
        <f>"9781783741854"</f>
        <v>9781783741854</v>
      </c>
      <c r="E630" t="s">
        <v>2270</v>
      </c>
      <c r="F630" s="1">
        <v>42426</v>
      </c>
      <c r="G630" t="s">
        <v>3190</v>
      </c>
      <c r="H630" t="s">
        <v>1011</v>
      </c>
      <c r="L630" t="s">
        <v>20</v>
      </c>
      <c r="M630" t="s">
        <v>3191</v>
      </c>
    </row>
    <row r="631" spans="1:13" x14ac:dyDescent="0.25">
      <c r="A631">
        <v>4512193</v>
      </c>
      <c r="B631" t="s">
        <v>3192</v>
      </c>
      <c r="C631" t="str">
        <f>"9781783742196"</f>
        <v>9781783742196</v>
      </c>
      <c r="D631" t="str">
        <f>"9781783742202"</f>
        <v>9781783742202</v>
      </c>
      <c r="E631" t="s">
        <v>2270</v>
      </c>
      <c r="F631" s="1">
        <v>42471</v>
      </c>
      <c r="G631" t="s">
        <v>3193</v>
      </c>
      <c r="H631" t="s">
        <v>30</v>
      </c>
      <c r="L631" t="s">
        <v>20</v>
      </c>
      <c r="M631" t="s">
        <v>3194</v>
      </c>
    </row>
    <row r="632" spans="1:13" x14ac:dyDescent="0.25">
      <c r="A632">
        <v>4533910</v>
      </c>
      <c r="B632" t="s">
        <v>3195</v>
      </c>
      <c r="C632" t="str">
        <f>"9783110458695"</f>
        <v>9783110458695</v>
      </c>
      <c r="D632" t="str">
        <f>"9783110460582"</f>
        <v>9783110460582</v>
      </c>
      <c r="E632" t="s">
        <v>350</v>
      </c>
      <c r="F632" s="1">
        <v>42514</v>
      </c>
      <c r="G632" t="s">
        <v>3196</v>
      </c>
      <c r="H632" t="s">
        <v>70</v>
      </c>
      <c r="I632" t="s">
        <v>3197</v>
      </c>
      <c r="J632" t="s">
        <v>3198</v>
      </c>
      <c r="K632" t="s">
        <v>3199</v>
      </c>
      <c r="L632" t="s">
        <v>20</v>
      </c>
      <c r="M632" t="s">
        <v>3200</v>
      </c>
    </row>
    <row r="633" spans="1:13" x14ac:dyDescent="0.25">
      <c r="A633">
        <v>4539813</v>
      </c>
      <c r="B633" t="s">
        <v>3201</v>
      </c>
      <c r="C633" t="str">
        <f>""</f>
        <v/>
      </c>
      <c r="D633" t="str">
        <f>"9782759206087"</f>
        <v>9782759206087</v>
      </c>
      <c r="E633" t="s">
        <v>2434</v>
      </c>
      <c r="F633" s="1">
        <v>40179</v>
      </c>
      <c r="G633" t="s">
        <v>3202</v>
      </c>
      <c r="H633" t="s">
        <v>3203</v>
      </c>
      <c r="I633" t="s">
        <v>3204</v>
      </c>
      <c r="J633">
        <v>338.18091723999902</v>
      </c>
      <c r="K633" t="s">
        <v>3205</v>
      </c>
      <c r="L633" t="s">
        <v>1279</v>
      </c>
      <c r="M633" t="s">
        <v>3206</v>
      </c>
    </row>
    <row r="634" spans="1:13" x14ac:dyDescent="0.25">
      <c r="A634">
        <v>4539833</v>
      </c>
      <c r="B634" t="s">
        <v>3207</v>
      </c>
      <c r="C634" t="str">
        <f>""</f>
        <v/>
      </c>
      <c r="D634" t="str">
        <f>"9782759223800"</f>
        <v>9782759223800</v>
      </c>
      <c r="E634" t="s">
        <v>2434</v>
      </c>
      <c r="F634" s="1">
        <v>42475</v>
      </c>
      <c r="G634" t="s">
        <v>3208</v>
      </c>
      <c r="H634" t="s">
        <v>41</v>
      </c>
      <c r="I634" t="s">
        <v>3209</v>
      </c>
      <c r="J634">
        <v>338.17351095999902</v>
      </c>
      <c r="K634" t="s">
        <v>3210</v>
      </c>
      <c r="L634" t="s">
        <v>1279</v>
      </c>
      <c r="M634" t="s">
        <v>3211</v>
      </c>
    </row>
    <row r="635" spans="1:13" x14ac:dyDescent="0.25">
      <c r="A635">
        <v>4539843</v>
      </c>
      <c r="B635" t="s">
        <v>3212</v>
      </c>
      <c r="C635" t="str">
        <f>"9782759224906"</f>
        <v>9782759224906</v>
      </c>
      <c r="D635" t="str">
        <f>"9782759224913"</f>
        <v>9782759224913</v>
      </c>
      <c r="E635" t="s">
        <v>2434</v>
      </c>
      <c r="F635" s="1">
        <v>42492</v>
      </c>
      <c r="G635" t="s">
        <v>3213</v>
      </c>
      <c r="H635" t="s">
        <v>2597</v>
      </c>
      <c r="I635" t="s">
        <v>3214</v>
      </c>
      <c r="J635">
        <v>362.19690000000003</v>
      </c>
      <c r="K635" t="s">
        <v>3215</v>
      </c>
      <c r="L635" t="s">
        <v>1279</v>
      </c>
      <c r="M635" t="s">
        <v>3216</v>
      </c>
    </row>
    <row r="636" spans="1:13" x14ac:dyDescent="0.25">
      <c r="A636">
        <v>4539904</v>
      </c>
      <c r="B636" t="s">
        <v>3217</v>
      </c>
      <c r="C636" t="str">
        <f>"9782759222025"</f>
        <v>9782759222025</v>
      </c>
      <c r="D636" t="str">
        <f>"9782759222049"</f>
        <v>9782759222049</v>
      </c>
      <c r="E636" t="s">
        <v>2434</v>
      </c>
      <c r="F636" s="1">
        <v>41821</v>
      </c>
      <c r="G636" t="s">
        <v>3218</v>
      </c>
      <c r="H636" t="s">
        <v>3219</v>
      </c>
      <c r="I636" t="s">
        <v>3220</v>
      </c>
      <c r="J636">
        <v>616.98</v>
      </c>
      <c r="K636" t="s">
        <v>3221</v>
      </c>
      <c r="L636" t="s">
        <v>1279</v>
      </c>
      <c r="M636" t="s">
        <v>3222</v>
      </c>
    </row>
    <row r="637" spans="1:13" x14ac:dyDescent="0.25">
      <c r="A637">
        <v>4556863</v>
      </c>
      <c r="B637" t="s">
        <v>3223</v>
      </c>
      <c r="C637" t="str">
        <f>"9783110453485"</f>
        <v>9783110453485</v>
      </c>
      <c r="D637" t="str">
        <f>"9783110454055"</f>
        <v>9783110454055</v>
      </c>
      <c r="E637" t="s">
        <v>350</v>
      </c>
      <c r="F637" s="1">
        <v>42541</v>
      </c>
      <c r="G637" t="s">
        <v>3224</v>
      </c>
      <c r="H637" t="s">
        <v>139</v>
      </c>
      <c r="L637" t="s">
        <v>1609</v>
      </c>
      <c r="M637" t="s">
        <v>3225</v>
      </c>
    </row>
    <row r="638" spans="1:13" x14ac:dyDescent="0.25">
      <c r="A638">
        <v>4556866</v>
      </c>
      <c r="B638" t="s">
        <v>3226</v>
      </c>
      <c r="C638" t="str">
        <f>"9783110462982"</f>
        <v>9783110462982</v>
      </c>
      <c r="D638" t="str">
        <f>"9783110463989"</f>
        <v>9783110463989</v>
      </c>
      <c r="E638" t="s">
        <v>350</v>
      </c>
      <c r="F638" s="1">
        <v>42541</v>
      </c>
      <c r="G638" t="s">
        <v>3224</v>
      </c>
      <c r="H638" t="s">
        <v>3227</v>
      </c>
      <c r="L638" t="s">
        <v>1609</v>
      </c>
      <c r="M638" t="s">
        <v>3228</v>
      </c>
    </row>
    <row r="639" spans="1:13" x14ac:dyDescent="0.25">
      <c r="A639">
        <v>4573567</v>
      </c>
      <c r="B639" t="s">
        <v>3229</v>
      </c>
      <c r="C639" t="str">
        <f>"9782759224364"</f>
        <v>9782759224364</v>
      </c>
      <c r="D639" t="str">
        <f>"9782759224371"</f>
        <v>9782759224371</v>
      </c>
      <c r="E639" t="s">
        <v>2434</v>
      </c>
      <c r="F639" s="1">
        <v>42537</v>
      </c>
      <c r="G639" t="s">
        <v>3230</v>
      </c>
      <c r="H639" t="s">
        <v>3231</v>
      </c>
      <c r="I639" t="s">
        <v>3232</v>
      </c>
      <c r="J639">
        <v>620.11699999999905</v>
      </c>
      <c r="K639" t="s">
        <v>3233</v>
      </c>
      <c r="L639" t="s">
        <v>1279</v>
      </c>
      <c r="M639" t="s">
        <v>3234</v>
      </c>
    </row>
    <row r="640" spans="1:13" x14ac:dyDescent="0.25">
      <c r="A640">
        <v>4592473</v>
      </c>
      <c r="B640" t="s">
        <v>3235</v>
      </c>
      <c r="C640" t="str">
        <f>"9781783741632"</f>
        <v>9781783741632</v>
      </c>
      <c r="D640" t="str">
        <f>"9781783741649"</f>
        <v>9781783741649</v>
      </c>
      <c r="E640" t="s">
        <v>2270</v>
      </c>
      <c r="F640" s="1">
        <v>42505</v>
      </c>
      <c r="G640" t="s">
        <v>3236</v>
      </c>
      <c r="H640" t="s">
        <v>163</v>
      </c>
      <c r="J640">
        <v>871.01</v>
      </c>
      <c r="L640" t="s">
        <v>20</v>
      </c>
      <c r="M640" t="s">
        <v>3237</v>
      </c>
    </row>
    <row r="641" spans="1:13" x14ac:dyDescent="0.25">
      <c r="A641">
        <v>4592474</v>
      </c>
      <c r="B641" t="s">
        <v>3238</v>
      </c>
      <c r="C641" t="str">
        <f>"9781783742141"</f>
        <v>9781783742141</v>
      </c>
      <c r="D641" t="str">
        <f>"9781783742158"</f>
        <v>9781783742158</v>
      </c>
      <c r="E641" t="s">
        <v>2270</v>
      </c>
      <c r="F641" s="1">
        <v>42562</v>
      </c>
      <c r="G641" t="s">
        <v>3239</v>
      </c>
      <c r="H641" t="s">
        <v>246</v>
      </c>
      <c r="L641" t="s">
        <v>20</v>
      </c>
      <c r="M641" t="s">
        <v>3240</v>
      </c>
    </row>
    <row r="642" spans="1:13" x14ac:dyDescent="0.25">
      <c r="A642">
        <v>4592475</v>
      </c>
      <c r="B642" t="s">
        <v>3241</v>
      </c>
      <c r="C642" t="str">
        <f>"9781783742295"</f>
        <v>9781783742295</v>
      </c>
      <c r="D642" t="str">
        <f>"9781783742301"</f>
        <v>9781783742301</v>
      </c>
      <c r="E642" t="s">
        <v>2270</v>
      </c>
      <c r="F642" s="1">
        <v>42520</v>
      </c>
      <c r="G642" t="s">
        <v>3242</v>
      </c>
      <c r="H642" t="s">
        <v>3243</v>
      </c>
      <c r="L642" t="s">
        <v>20</v>
      </c>
      <c r="M642" t="s">
        <v>3244</v>
      </c>
    </row>
    <row r="643" spans="1:13" x14ac:dyDescent="0.25">
      <c r="A643">
        <v>4592476</v>
      </c>
      <c r="B643" t="s">
        <v>3245</v>
      </c>
      <c r="C643" t="str">
        <f>"9781783742448"</f>
        <v>9781783742448</v>
      </c>
      <c r="D643" t="str">
        <f>"9781783742455"</f>
        <v>9781783742455</v>
      </c>
      <c r="E643" t="s">
        <v>2270</v>
      </c>
      <c r="F643" s="1">
        <v>42569</v>
      </c>
      <c r="G643" t="s">
        <v>3246</v>
      </c>
      <c r="H643" t="s">
        <v>3247</v>
      </c>
      <c r="L643" t="s">
        <v>20</v>
      </c>
      <c r="M643" t="s">
        <v>3248</v>
      </c>
    </row>
    <row r="644" spans="1:13" x14ac:dyDescent="0.25">
      <c r="A644">
        <v>4592478</v>
      </c>
      <c r="B644" t="s">
        <v>3249</v>
      </c>
      <c r="C644" t="str">
        <f>"9781909254916"</f>
        <v>9781909254916</v>
      </c>
      <c r="D644" t="str">
        <f>"9781909254923"</f>
        <v>9781909254923</v>
      </c>
      <c r="E644" t="s">
        <v>2270</v>
      </c>
      <c r="F644" s="1">
        <v>42541</v>
      </c>
      <c r="G644" t="s">
        <v>3250</v>
      </c>
      <c r="H644" t="s">
        <v>3251</v>
      </c>
      <c r="L644" t="s">
        <v>20</v>
      </c>
      <c r="M644" t="s">
        <v>3252</v>
      </c>
    </row>
    <row r="645" spans="1:13" x14ac:dyDescent="0.25">
      <c r="A645">
        <v>4595498</v>
      </c>
      <c r="B645" t="s">
        <v>3253</v>
      </c>
      <c r="C645" t="str">
        <f>"9783110417937"</f>
        <v>9783110417937</v>
      </c>
      <c r="D645" t="str">
        <f>"9783110417944"</f>
        <v>9783110417944</v>
      </c>
      <c r="E645" t="s">
        <v>270</v>
      </c>
      <c r="F645" s="1">
        <v>42562</v>
      </c>
      <c r="G645" t="s">
        <v>3254</v>
      </c>
      <c r="H645" t="s">
        <v>70</v>
      </c>
      <c r="I645" t="s">
        <v>3255</v>
      </c>
      <c r="J645">
        <v>820.93820000000005</v>
      </c>
      <c r="K645" t="s">
        <v>3256</v>
      </c>
      <c r="L645" t="s">
        <v>291</v>
      </c>
      <c r="M645" t="s">
        <v>3257</v>
      </c>
    </row>
    <row r="646" spans="1:13" x14ac:dyDescent="0.25">
      <c r="A646">
        <v>4618888</v>
      </c>
      <c r="B646" t="s">
        <v>3258</v>
      </c>
      <c r="C646" t="str">
        <f>"9783110473148"</f>
        <v>9783110473148</v>
      </c>
      <c r="D646" t="str">
        <f>"9783110479010"</f>
        <v>9783110479010</v>
      </c>
      <c r="E646" t="s">
        <v>350</v>
      </c>
      <c r="F646" s="1">
        <v>42576</v>
      </c>
      <c r="G646" t="s">
        <v>3259</v>
      </c>
      <c r="H646" t="s">
        <v>3260</v>
      </c>
      <c r="I646" t="s">
        <v>3261</v>
      </c>
      <c r="J646">
        <v>91</v>
      </c>
      <c r="K646" t="s">
        <v>3262</v>
      </c>
      <c r="L646" t="s">
        <v>20</v>
      </c>
      <c r="M646" t="s">
        <v>3263</v>
      </c>
    </row>
    <row r="647" spans="1:13" x14ac:dyDescent="0.25">
      <c r="A647">
        <v>4644580</v>
      </c>
      <c r="B647" t="s">
        <v>3264</v>
      </c>
      <c r="C647" t="str">
        <f>"9781614513230"</f>
        <v>9781614513230</v>
      </c>
      <c r="D647" t="str">
        <f>"9781614512639"</f>
        <v>9781614512639</v>
      </c>
      <c r="E647" t="s">
        <v>270</v>
      </c>
      <c r="F647" s="1">
        <v>42590</v>
      </c>
      <c r="G647" t="s">
        <v>3265</v>
      </c>
      <c r="H647" t="s">
        <v>64</v>
      </c>
      <c r="I647" t="s">
        <v>3266</v>
      </c>
      <c r="J647">
        <v>305.40939400000002</v>
      </c>
      <c r="K647" t="s">
        <v>3267</v>
      </c>
      <c r="L647" t="s">
        <v>20</v>
      </c>
      <c r="M647" t="s">
        <v>3268</v>
      </c>
    </row>
    <row r="648" spans="1:13" x14ac:dyDescent="0.25">
      <c r="A648">
        <v>4644635</v>
      </c>
      <c r="B648" t="s">
        <v>3269</v>
      </c>
      <c r="C648" t="str">
        <f>"9783110449419"</f>
        <v>9783110449419</v>
      </c>
      <c r="D648" t="str">
        <f>"9783110459272"</f>
        <v>9783110459272</v>
      </c>
      <c r="E648" t="s">
        <v>350</v>
      </c>
      <c r="F648" s="1">
        <v>42604</v>
      </c>
      <c r="G648" t="s">
        <v>3270</v>
      </c>
      <c r="H648" t="s">
        <v>851</v>
      </c>
      <c r="I648" t="s">
        <v>3271</v>
      </c>
      <c r="J648">
        <v>430</v>
      </c>
      <c r="K648" t="s">
        <v>3272</v>
      </c>
      <c r="L648" t="s">
        <v>291</v>
      </c>
      <c r="M648" t="s">
        <v>3273</v>
      </c>
    </row>
    <row r="649" spans="1:13" x14ac:dyDescent="0.25">
      <c r="A649">
        <v>4659544</v>
      </c>
      <c r="B649" t="s">
        <v>3274</v>
      </c>
      <c r="C649" t="str">
        <f>""</f>
        <v/>
      </c>
      <c r="D649" t="str">
        <f>"9782759225699"</f>
        <v>9782759225699</v>
      </c>
      <c r="E649" t="s">
        <v>2434</v>
      </c>
      <c r="F649" s="1">
        <v>42607</v>
      </c>
      <c r="G649" t="s">
        <v>3275</v>
      </c>
      <c r="H649" t="s">
        <v>3276</v>
      </c>
      <c r="L649" t="s">
        <v>1279</v>
      </c>
      <c r="M649" t="s">
        <v>3277</v>
      </c>
    </row>
    <row r="650" spans="1:13" x14ac:dyDescent="0.25">
      <c r="A650">
        <v>4691382</v>
      </c>
      <c r="B650" t="s">
        <v>3278</v>
      </c>
      <c r="C650" t="str">
        <f>"9783110419351"</f>
        <v>9783110419351</v>
      </c>
      <c r="D650" t="str">
        <f>"9783110418163"</f>
        <v>9783110418163</v>
      </c>
      <c r="E650" t="s">
        <v>270</v>
      </c>
      <c r="F650" s="1">
        <v>42622</v>
      </c>
      <c r="G650" t="s">
        <v>3279</v>
      </c>
      <c r="H650" t="s">
        <v>64</v>
      </c>
      <c r="I650" t="s">
        <v>3280</v>
      </c>
      <c r="J650">
        <v>302.30284999999998</v>
      </c>
      <c r="K650" t="s">
        <v>3281</v>
      </c>
      <c r="L650" t="s">
        <v>20</v>
      </c>
      <c r="M650" t="s">
        <v>3282</v>
      </c>
    </row>
    <row r="651" spans="1:13" x14ac:dyDescent="0.25">
      <c r="A651">
        <v>4691414</v>
      </c>
      <c r="B651" t="s">
        <v>3283</v>
      </c>
      <c r="C651" t="str">
        <f>"9783110465228"</f>
        <v>9783110465228</v>
      </c>
      <c r="D651" t="str">
        <f>"9783110466966"</f>
        <v>9783110466966</v>
      </c>
      <c r="E651" t="s">
        <v>350</v>
      </c>
      <c r="F651" s="1">
        <v>42639</v>
      </c>
      <c r="G651" t="s">
        <v>3284</v>
      </c>
      <c r="H651" t="s">
        <v>3285</v>
      </c>
      <c r="L651" t="s">
        <v>291</v>
      </c>
      <c r="M651" t="s">
        <v>3286</v>
      </c>
    </row>
    <row r="652" spans="1:13" x14ac:dyDescent="0.25">
      <c r="A652">
        <v>4694633</v>
      </c>
      <c r="B652" t="s">
        <v>3287</v>
      </c>
      <c r="C652" t="str">
        <f>"9781783742592"</f>
        <v>9781783742592</v>
      </c>
      <c r="D652" t="str">
        <f>"9781783742608"</f>
        <v>9781783742608</v>
      </c>
      <c r="E652" t="s">
        <v>2270</v>
      </c>
      <c r="F652" s="1">
        <v>42578</v>
      </c>
      <c r="G652" t="s">
        <v>3288</v>
      </c>
      <c r="H652" t="s">
        <v>3289</v>
      </c>
      <c r="L652" t="s">
        <v>20</v>
      </c>
      <c r="M652" t="s">
        <v>3290</v>
      </c>
    </row>
    <row r="653" spans="1:13" x14ac:dyDescent="0.25">
      <c r="A653">
        <v>4694634</v>
      </c>
      <c r="B653" t="s">
        <v>3291</v>
      </c>
      <c r="C653" t="str">
        <f>"9781783742394"</f>
        <v>9781783742394</v>
      </c>
      <c r="D653" t="str">
        <f>"9781783742400"</f>
        <v>9781783742400</v>
      </c>
      <c r="E653" t="s">
        <v>2270</v>
      </c>
      <c r="F653" s="1">
        <v>42597</v>
      </c>
      <c r="G653" t="s">
        <v>3292</v>
      </c>
      <c r="H653" t="s">
        <v>3293</v>
      </c>
      <c r="L653" t="s">
        <v>20</v>
      </c>
      <c r="M653" t="s">
        <v>3294</v>
      </c>
    </row>
    <row r="654" spans="1:13" x14ac:dyDescent="0.25">
      <c r="A654">
        <v>4694635</v>
      </c>
      <c r="B654" t="s">
        <v>3295</v>
      </c>
      <c r="C654" t="str">
        <f>"9781783740833"</f>
        <v>9781783740833</v>
      </c>
      <c r="D654" t="str">
        <f>"9781783740840"</f>
        <v>9781783740840</v>
      </c>
      <c r="E654" t="s">
        <v>2270</v>
      </c>
      <c r="F654" s="1">
        <v>42618</v>
      </c>
      <c r="G654" t="s">
        <v>3296</v>
      </c>
      <c r="H654" t="s">
        <v>3297</v>
      </c>
      <c r="L654" t="s">
        <v>20</v>
      </c>
      <c r="M654" t="s">
        <v>3298</v>
      </c>
    </row>
    <row r="655" spans="1:13" x14ac:dyDescent="0.25">
      <c r="A655">
        <v>4694636</v>
      </c>
      <c r="B655" t="s">
        <v>3299</v>
      </c>
      <c r="C655" t="str">
        <f>"9781783742349"</f>
        <v>9781783742349</v>
      </c>
      <c r="D655" t="str">
        <f>"9781783742356"</f>
        <v>9781783742356</v>
      </c>
      <c r="E655" t="s">
        <v>2270</v>
      </c>
      <c r="F655" s="1">
        <v>42639</v>
      </c>
      <c r="G655" t="s">
        <v>3300</v>
      </c>
      <c r="H655" t="s">
        <v>70</v>
      </c>
      <c r="L655" t="s">
        <v>20</v>
      </c>
      <c r="M655" t="s">
        <v>3301</v>
      </c>
    </row>
    <row r="656" spans="1:13" x14ac:dyDescent="0.25">
      <c r="A656">
        <v>4705024</v>
      </c>
      <c r="B656" t="s">
        <v>3302</v>
      </c>
      <c r="C656" t="str">
        <f>"9780719090196"</f>
        <v>9780719090196</v>
      </c>
      <c r="D656" t="str">
        <f>"9781847799777"</f>
        <v>9781847799777</v>
      </c>
      <c r="E656" t="s">
        <v>14</v>
      </c>
      <c r="F656" s="1">
        <v>42004</v>
      </c>
      <c r="G656" t="s">
        <v>3303</v>
      </c>
      <c r="H656" t="s">
        <v>495</v>
      </c>
      <c r="I656" t="s">
        <v>3304</v>
      </c>
      <c r="J656">
        <v>941.50810000000001</v>
      </c>
      <c r="K656" t="s">
        <v>3305</v>
      </c>
      <c r="L656" t="s">
        <v>20</v>
      </c>
      <c r="M656" t="s">
        <v>3306</v>
      </c>
    </row>
    <row r="657" spans="1:13" x14ac:dyDescent="0.25">
      <c r="A657">
        <v>4705029</v>
      </c>
      <c r="B657" t="s">
        <v>3307</v>
      </c>
      <c r="C657" t="str">
        <f>"9780719096501"</f>
        <v>9780719096501</v>
      </c>
      <c r="D657" t="str">
        <f>"9781847799739"</f>
        <v>9781847799739</v>
      </c>
      <c r="E657" t="s">
        <v>14</v>
      </c>
      <c r="F657" s="1">
        <v>42003</v>
      </c>
      <c r="G657" t="s">
        <v>3308</v>
      </c>
      <c r="H657" t="s">
        <v>64</v>
      </c>
      <c r="I657" t="s">
        <v>3309</v>
      </c>
      <c r="J657">
        <v>363.25952339999901</v>
      </c>
      <c r="K657" t="s">
        <v>3310</v>
      </c>
      <c r="L657" t="s">
        <v>20</v>
      </c>
      <c r="M657" t="s">
        <v>3311</v>
      </c>
    </row>
    <row r="658" spans="1:13" x14ac:dyDescent="0.25">
      <c r="A658">
        <v>4715762</v>
      </c>
      <c r="B658" t="s">
        <v>3312</v>
      </c>
      <c r="C658" t="str">
        <f>""</f>
        <v/>
      </c>
      <c r="D658" t="str">
        <f>"9781137061614"</f>
        <v>9781137061614</v>
      </c>
      <c r="E658" t="s">
        <v>3313</v>
      </c>
      <c r="F658" s="1">
        <v>42490</v>
      </c>
      <c r="G658" t="s">
        <v>3314</v>
      </c>
      <c r="H658" t="s">
        <v>146</v>
      </c>
      <c r="I658" t="s">
        <v>3315</v>
      </c>
      <c r="J658">
        <v>320</v>
      </c>
      <c r="K658" t="s">
        <v>3316</v>
      </c>
      <c r="L658" t="s">
        <v>20</v>
      </c>
      <c r="M658" t="s">
        <v>3317</v>
      </c>
    </row>
    <row r="659" spans="1:13" x14ac:dyDescent="0.25">
      <c r="A659">
        <v>4718362</v>
      </c>
      <c r="B659" t="s">
        <v>3318</v>
      </c>
      <c r="C659" t="str">
        <f>"9781501510564"</f>
        <v>9781501510564</v>
      </c>
      <c r="D659" t="str">
        <f>"9781501501913"</f>
        <v>9781501501913</v>
      </c>
      <c r="E659" t="s">
        <v>270</v>
      </c>
      <c r="F659" s="1">
        <v>42667</v>
      </c>
      <c r="G659" t="s">
        <v>3319</v>
      </c>
      <c r="H659" t="s">
        <v>163</v>
      </c>
      <c r="I659" t="s">
        <v>3320</v>
      </c>
      <c r="J659">
        <v>895.11307999999997</v>
      </c>
      <c r="K659" t="s">
        <v>3321</v>
      </c>
      <c r="L659" t="s">
        <v>20</v>
      </c>
      <c r="M659" t="s">
        <v>3322</v>
      </c>
    </row>
    <row r="660" spans="1:13" x14ac:dyDescent="0.25">
      <c r="A660">
        <v>4718392</v>
      </c>
      <c r="B660" t="s">
        <v>3323</v>
      </c>
      <c r="C660" t="str">
        <f>"9783110459623"</f>
        <v>9783110459623</v>
      </c>
      <c r="D660" t="str">
        <f>"9783110459630"</f>
        <v>9783110459630</v>
      </c>
      <c r="E660" t="s">
        <v>350</v>
      </c>
      <c r="F660" s="1">
        <v>42668</v>
      </c>
      <c r="G660" t="s">
        <v>3324</v>
      </c>
      <c r="H660" t="s">
        <v>851</v>
      </c>
      <c r="I660" t="s">
        <v>3325</v>
      </c>
      <c r="J660">
        <v>411.7</v>
      </c>
      <c r="K660" t="s">
        <v>3326</v>
      </c>
      <c r="L660" t="s">
        <v>20</v>
      </c>
      <c r="M660" t="s">
        <v>3327</v>
      </c>
    </row>
    <row r="661" spans="1:13" x14ac:dyDescent="0.25">
      <c r="A661">
        <v>4732975</v>
      </c>
      <c r="B661" t="s">
        <v>3328</v>
      </c>
      <c r="C661" t="str">
        <f>"9781780406992"</f>
        <v>9781780406992</v>
      </c>
      <c r="D661" t="str">
        <f>"9781780407005"</f>
        <v>9781780407005</v>
      </c>
      <c r="E661" t="s">
        <v>2237</v>
      </c>
      <c r="F661" s="1">
        <v>42536</v>
      </c>
      <c r="G661" t="s">
        <v>3329</v>
      </c>
      <c r="H661" t="s">
        <v>2258</v>
      </c>
      <c r="I661" t="s">
        <v>3330</v>
      </c>
      <c r="J661">
        <v>628.16800000000001</v>
      </c>
      <c r="K661" t="s">
        <v>3331</v>
      </c>
      <c r="L661" t="s">
        <v>20</v>
      </c>
      <c r="M661" t="s">
        <v>3332</v>
      </c>
    </row>
    <row r="662" spans="1:13" x14ac:dyDescent="0.25">
      <c r="A662">
        <v>4742387</v>
      </c>
      <c r="B662" t="s">
        <v>3333</v>
      </c>
      <c r="C662" t="str">
        <f>"9781780406855"</f>
        <v>9781780406855</v>
      </c>
      <c r="D662" t="str">
        <f>"9781780406862"</f>
        <v>9781780406862</v>
      </c>
      <c r="E662" t="s">
        <v>2237</v>
      </c>
      <c r="F662" s="1">
        <v>42597</v>
      </c>
      <c r="G662" t="s">
        <v>3334</v>
      </c>
      <c r="H662" t="s">
        <v>3335</v>
      </c>
      <c r="I662" t="s">
        <v>3336</v>
      </c>
      <c r="J662">
        <v>620.5</v>
      </c>
      <c r="K662" t="s">
        <v>3337</v>
      </c>
      <c r="L662" t="s">
        <v>20</v>
      </c>
      <c r="M662" t="s">
        <v>3338</v>
      </c>
    </row>
    <row r="663" spans="1:13" x14ac:dyDescent="0.25">
      <c r="A663">
        <v>4742718</v>
      </c>
      <c r="B663" t="s">
        <v>3339</v>
      </c>
      <c r="C663" t="str">
        <f>"9782759225200"</f>
        <v>9782759225200</v>
      </c>
      <c r="D663" t="str">
        <f>"9782759225217"</f>
        <v>9782759225217</v>
      </c>
      <c r="E663" t="s">
        <v>2434</v>
      </c>
      <c r="F663" s="1">
        <v>42678</v>
      </c>
      <c r="G663" t="s">
        <v>3340</v>
      </c>
      <c r="H663" t="s">
        <v>3341</v>
      </c>
      <c r="I663" t="s">
        <v>3342</v>
      </c>
      <c r="J663">
        <v>614.58849999999904</v>
      </c>
      <c r="K663" t="s">
        <v>3343</v>
      </c>
      <c r="L663" t="s">
        <v>1279</v>
      </c>
      <c r="M663" t="s">
        <v>3344</v>
      </c>
    </row>
    <row r="664" spans="1:13" x14ac:dyDescent="0.25">
      <c r="A664">
        <v>4749379</v>
      </c>
      <c r="B664" t="s">
        <v>3345</v>
      </c>
      <c r="C664" t="str">
        <f>"9783110426991"</f>
        <v>9783110426991</v>
      </c>
      <c r="D664" t="str">
        <f>"9783110423136"</f>
        <v>9783110423136</v>
      </c>
      <c r="E664" t="s">
        <v>270</v>
      </c>
      <c r="F664" s="1">
        <v>42422</v>
      </c>
      <c r="G664" t="s">
        <v>3346</v>
      </c>
      <c r="H664" t="s">
        <v>851</v>
      </c>
      <c r="J664">
        <v>437</v>
      </c>
      <c r="L664" t="s">
        <v>291</v>
      </c>
      <c r="M664" t="s">
        <v>3347</v>
      </c>
    </row>
    <row r="665" spans="1:13" x14ac:dyDescent="0.25">
      <c r="A665">
        <v>4749391</v>
      </c>
      <c r="B665" t="s">
        <v>3348</v>
      </c>
      <c r="C665" t="str">
        <f>"9783110378221"</f>
        <v>9783110378221</v>
      </c>
      <c r="D665" t="str">
        <f>"9783110405552"</f>
        <v>9783110405552</v>
      </c>
      <c r="E665" t="s">
        <v>350</v>
      </c>
      <c r="F665" s="1">
        <v>42541</v>
      </c>
      <c r="G665" t="s">
        <v>3349</v>
      </c>
      <c r="H665" t="s">
        <v>310</v>
      </c>
      <c r="I665" t="s">
        <v>3350</v>
      </c>
      <c r="J665">
        <v>271</v>
      </c>
      <c r="K665" t="s">
        <v>3351</v>
      </c>
      <c r="L665" t="s">
        <v>291</v>
      </c>
      <c r="M665" t="s">
        <v>3352</v>
      </c>
    </row>
    <row r="666" spans="1:13" x14ac:dyDescent="0.25">
      <c r="A666">
        <v>4749420</v>
      </c>
      <c r="B666" t="s">
        <v>3353</v>
      </c>
      <c r="C666" t="str">
        <f>"9780939950966"</f>
        <v>9780939950966</v>
      </c>
      <c r="D666" t="str">
        <f>"9781501502071"</f>
        <v>9781501502071</v>
      </c>
      <c r="E666" t="s">
        <v>270</v>
      </c>
      <c r="F666" s="1">
        <v>42292</v>
      </c>
      <c r="G666" t="s">
        <v>3354</v>
      </c>
      <c r="H666" t="s">
        <v>3355</v>
      </c>
      <c r="I666" t="s">
        <v>3356</v>
      </c>
      <c r="J666">
        <v>551.9</v>
      </c>
      <c r="K666" t="s">
        <v>3357</v>
      </c>
      <c r="L666" t="s">
        <v>20</v>
      </c>
      <c r="M666" t="s">
        <v>3358</v>
      </c>
    </row>
    <row r="667" spans="1:13" x14ac:dyDescent="0.25">
      <c r="A667">
        <v>4768876</v>
      </c>
      <c r="B667" t="s">
        <v>3359</v>
      </c>
      <c r="C667" t="str">
        <f>"9783110417852"</f>
        <v>9783110417852</v>
      </c>
      <c r="D667" t="str">
        <f>"9783110417845"</f>
        <v>9783110417845</v>
      </c>
      <c r="E667" t="s">
        <v>270</v>
      </c>
      <c r="F667" s="1">
        <v>42723</v>
      </c>
      <c r="G667" t="s">
        <v>3360</v>
      </c>
      <c r="H667" t="s">
        <v>1251</v>
      </c>
      <c r="I667" t="s">
        <v>3361</v>
      </c>
      <c r="J667" t="s">
        <v>3362</v>
      </c>
      <c r="K667" t="s">
        <v>3363</v>
      </c>
      <c r="L667" t="s">
        <v>20</v>
      </c>
      <c r="M667" t="s">
        <v>3364</v>
      </c>
    </row>
    <row r="668" spans="1:13" x14ac:dyDescent="0.25">
      <c r="A668">
        <v>4768898</v>
      </c>
      <c r="B668" t="s">
        <v>3365</v>
      </c>
      <c r="C668" t="str">
        <f>"9783110448108"</f>
        <v>9783110448108</v>
      </c>
      <c r="D668" t="str">
        <f>"9783110448115"</f>
        <v>9783110448115</v>
      </c>
      <c r="E668" t="s">
        <v>350</v>
      </c>
      <c r="F668" s="1">
        <v>42695</v>
      </c>
      <c r="G668" t="s">
        <v>3366</v>
      </c>
      <c r="H668" t="s">
        <v>3367</v>
      </c>
      <c r="L668" t="s">
        <v>291</v>
      </c>
      <c r="M668" t="s">
        <v>3368</v>
      </c>
    </row>
    <row r="669" spans="1:13" x14ac:dyDescent="0.25">
      <c r="A669">
        <v>4768916</v>
      </c>
      <c r="B669" t="s">
        <v>3369</v>
      </c>
      <c r="C669" t="str">
        <f>"9783110477726"</f>
        <v>9783110477726</v>
      </c>
      <c r="D669" t="str">
        <f>"9783110478815"</f>
        <v>9783110478815</v>
      </c>
      <c r="E669" t="s">
        <v>350</v>
      </c>
      <c r="F669" s="1">
        <v>42681</v>
      </c>
      <c r="G669" t="s">
        <v>3370</v>
      </c>
      <c r="H669" t="s">
        <v>310</v>
      </c>
      <c r="I669" t="s">
        <v>3371</v>
      </c>
      <c r="J669" t="s">
        <v>3372</v>
      </c>
      <c r="K669" t="s">
        <v>3373</v>
      </c>
      <c r="L669" t="s">
        <v>20</v>
      </c>
      <c r="M669" t="s">
        <v>3374</v>
      </c>
    </row>
    <row r="670" spans="1:13" x14ac:dyDescent="0.25">
      <c r="A670">
        <v>4768935</v>
      </c>
      <c r="B670" t="s">
        <v>3375</v>
      </c>
      <c r="C670" t="str">
        <f>"9783110450927"</f>
        <v>9783110450927</v>
      </c>
      <c r="D670" t="str">
        <f>"9783110450934"</f>
        <v>9783110450934</v>
      </c>
      <c r="E670" t="s">
        <v>350</v>
      </c>
      <c r="F670" s="1">
        <v>42723</v>
      </c>
      <c r="G670" t="s">
        <v>3376</v>
      </c>
      <c r="H670" t="s">
        <v>310</v>
      </c>
      <c r="I670" t="s">
        <v>3377</v>
      </c>
      <c r="J670" t="s">
        <v>3378</v>
      </c>
      <c r="K670" t="s">
        <v>3379</v>
      </c>
      <c r="L670" t="s">
        <v>20</v>
      </c>
      <c r="M670" t="s">
        <v>3380</v>
      </c>
    </row>
    <row r="671" spans="1:13" x14ac:dyDescent="0.25">
      <c r="A671">
        <v>4768993</v>
      </c>
      <c r="B671" t="s">
        <v>3381</v>
      </c>
      <c r="C671" t="str">
        <f>"9783110496932"</f>
        <v>9783110496932</v>
      </c>
      <c r="D671" t="str">
        <f>"9783110496956"</f>
        <v>9783110496956</v>
      </c>
      <c r="E671" t="s">
        <v>350</v>
      </c>
      <c r="F671" s="1">
        <v>42681</v>
      </c>
      <c r="G671" t="s">
        <v>3382</v>
      </c>
      <c r="H671" t="s">
        <v>2293</v>
      </c>
      <c r="I671" t="s">
        <v>3383</v>
      </c>
      <c r="J671">
        <v>91</v>
      </c>
      <c r="K671" t="s">
        <v>3384</v>
      </c>
      <c r="L671" t="s">
        <v>20</v>
      </c>
      <c r="M671" t="s">
        <v>3385</v>
      </c>
    </row>
    <row r="672" spans="1:13" x14ac:dyDescent="0.25">
      <c r="A672">
        <v>4769012</v>
      </c>
      <c r="B672" t="s">
        <v>3386</v>
      </c>
      <c r="C672" t="str">
        <f>"9783110487329"</f>
        <v>9783110487329</v>
      </c>
      <c r="D672" t="str">
        <f>"9783110501728"</f>
        <v>9783110501728</v>
      </c>
      <c r="E672" t="s">
        <v>350</v>
      </c>
      <c r="F672" s="1">
        <v>42681</v>
      </c>
      <c r="G672" t="s">
        <v>3387</v>
      </c>
      <c r="H672" t="s">
        <v>3388</v>
      </c>
      <c r="L672" t="s">
        <v>20</v>
      </c>
      <c r="M672" t="s">
        <v>3389</v>
      </c>
    </row>
    <row r="673" spans="1:13" x14ac:dyDescent="0.25">
      <c r="A673">
        <v>4777260</v>
      </c>
      <c r="B673" t="s">
        <v>3390</v>
      </c>
      <c r="C673" t="str">
        <f>"9780719091391"</f>
        <v>9780719091391</v>
      </c>
      <c r="D673" t="str">
        <f>"9781526111975"</f>
        <v>9781526111975</v>
      </c>
      <c r="E673" t="s">
        <v>14</v>
      </c>
      <c r="F673" s="1">
        <v>41698</v>
      </c>
      <c r="G673" t="s">
        <v>3391</v>
      </c>
      <c r="H673" t="s">
        <v>246</v>
      </c>
      <c r="I673" t="s">
        <v>3392</v>
      </c>
      <c r="J673">
        <v>791.43094102999999</v>
      </c>
      <c r="K673" t="s">
        <v>3393</v>
      </c>
      <c r="L673" t="s">
        <v>20</v>
      </c>
      <c r="M673" t="s">
        <v>3394</v>
      </c>
    </row>
    <row r="674" spans="1:13" x14ac:dyDescent="0.25">
      <c r="A674">
        <v>4787961</v>
      </c>
      <c r="B674" t="s">
        <v>3395</v>
      </c>
      <c r="C674" t="str">
        <f>""</f>
        <v/>
      </c>
      <c r="D674" t="str">
        <f>"9782759225958"</f>
        <v>9782759225958</v>
      </c>
      <c r="E674" t="s">
        <v>2434</v>
      </c>
      <c r="F674" s="1">
        <v>42702</v>
      </c>
      <c r="G674" t="s">
        <v>3396</v>
      </c>
      <c r="H674" t="s">
        <v>3397</v>
      </c>
      <c r="I674" t="s">
        <v>3398</v>
      </c>
      <c r="J674">
        <v>338.16</v>
      </c>
      <c r="K674" t="s">
        <v>3399</v>
      </c>
      <c r="L674" t="s">
        <v>20</v>
      </c>
      <c r="M674" t="s">
        <v>3400</v>
      </c>
    </row>
    <row r="675" spans="1:13" x14ac:dyDescent="0.25">
      <c r="A675">
        <v>4788062</v>
      </c>
      <c r="B675" t="s">
        <v>3401</v>
      </c>
      <c r="C675" t="str">
        <f>"9781783741786"</f>
        <v>9781783741786</v>
      </c>
      <c r="D675" t="str">
        <f>"9781783741793"</f>
        <v>9781783741793</v>
      </c>
      <c r="E675" t="s">
        <v>2270</v>
      </c>
      <c r="F675" s="1">
        <v>42709</v>
      </c>
      <c r="G675" t="s">
        <v>2271</v>
      </c>
      <c r="H675" t="s">
        <v>70</v>
      </c>
      <c r="L675" t="s">
        <v>20</v>
      </c>
      <c r="M675" t="s">
        <v>3402</v>
      </c>
    </row>
    <row r="676" spans="1:13" x14ac:dyDescent="0.25">
      <c r="A676">
        <v>4788063</v>
      </c>
      <c r="B676" t="s">
        <v>3403</v>
      </c>
      <c r="C676" t="str">
        <f>"9781783742943"</f>
        <v>9781783742943</v>
      </c>
      <c r="D676" t="str">
        <f>"9781783742950"</f>
        <v>9781783742950</v>
      </c>
      <c r="E676" t="s">
        <v>2270</v>
      </c>
      <c r="F676" s="1">
        <v>42695</v>
      </c>
      <c r="G676" t="s">
        <v>3404</v>
      </c>
      <c r="H676" t="s">
        <v>169</v>
      </c>
      <c r="J676">
        <v>338.9</v>
      </c>
      <c r="L676" t="s">
        <v>20</v>
      </c>
      <c r="M676" t="s">
        <v>3405</v>
      </c>
    </row>
    <row r="677" spans="1:13" x14ac:dyDescent="0.25">
      <c r="A677">
        <v>4788064</v>
      </c>
      <c r="B677" t="s">
        <v>3406</v>
      </c>
      <c r="C677" t="str">
        <f>"9781783742547"</f>
        <v>9781783742547</v>
      </c>
      <c r="D677" t="str">
        <f>"9781783742554"</f>
        <v>9781783742554</v>
      </c>
      <c r="E677" t="s">
        <v>2270</v>
      </c>
      <c r="F677" s="1">
        <v>42716</v>
      </c>
      <c r="G677" t="s">
        <v>3073</v>
      </c>
      <c r="H677" t="s">
        <v>70</v>
      </c>
      <c r="L677" t="s">
        <v>20</v>
      </c>
      <c r="M677" t="s">
        <v>3407</v>
      </c>
    </row>
    <row r="678" spans="1:13" x14ac:dyDescent="0.25">
      <c r="A678">
        <v>4788065</v>
      </c>
      <c r="B678" t="s">
        <v>3408</v>
      </c>
      <c r="C678" t="str">
        <f>"9781783742745"</f>
        <v>9781783742745</v>
      </c>
      <c r="D678" t="str">
        <f>"9781783742752"</f>
        <v>9781783742752</v>
      </c>
      <c r="E678" t="s">
        <v>2270</v>
      </c>
      <c r="F678" s="1">
        <v>42660</v>
      </c>
      <c r="G678" t="s">
        <v>3409</v>
      </c>
      <c r="H678" t="s">
        <v>163</v>
      </c>
      <c r="L678" t="s">
        <v>20</v>
      </c>
      <c r="M678" t="s">
        <v>3410</v>
      </c>
    </row>
    <row r="679" spans="1:13" x14ac:dyDescent="0.25">
      <c r="A679">
        <v>4788066</v>
      </c>
      <c r="B679" t="s">
        <v>3411</v>
      </c>
      <c r="C679" t="str">
        <f>"9781783742790"</f>
        <v>9781783742790</v>
      </c>
      <c r="D679" t="str">
        <f>"9781783742806"</f>
        <v>9781783742806</v>
      </c>
      <c r="E679" t="s">
        <v>2270</v>
      </c>
      <c r="F679" s="1">
        <v>42723</v>
      </c>
      <c r="G679" t="s">
        <v>3412</v>
      </c>
      <c r="H679" t="s">
        <v>363</v>
      </c>
      <c r="L679" t="s">
        <v>20</v>
      </c>
      <c r="M679" t="s">
        <v>3413</v>
      </c>
    </row>
    <row r="680" spans="1:13" x14ac:dyDescent="0.25">
      <c r="A680">
        <v>4788067</v>
      </c>
      <c r="B680" t="s">
        <v>3414</v>
      </c>
      <c r="C680" t="str">
        <f>"9781783742899"</f>
        <v>9781783742899</v>
      </c>
      <c r="D680" t="str">
        <f>"9781783742905"</f>
        <v>9781783742905</v>
      </c>
      <c r="E680" t="s">
        <v>2270</v>
      </c>
      <c r="F680" s="1">
        <v>42685</v>
      </c>
      <c r="G680" t="s">
        <v>3415</v>
      </c>
      <c r="H680" t="s">
        <v>3416</v>
      </c>
      <c r="L680" t="s">
        <v>20</v>
      </c>
      <c r="M680" t="s">
        <v>3417</v>
      </c>
    </row>
    <row r="681" spans="1:13" x14ac:dyDescent="0.25">
      <c r="A681">
        <v>4793608</v>
      </c>
      <c r="B681" t="s">
        <v>3418</v>
      </c>
      <c r="C681" t="str">
        <f>"9783598108617"</f>
        <v>9783598108617</v>
      </c>
      <c r="D681" t="str">
        <f>"9783110950397"</f>
        <v>9783110950397</v>
      </c>
      <c r="E681" t="s">
        <v>270</v>
      </c>
      <c r="F681" s="1">
        <v>33239</v>
      </c>
      <c r="G681" t="s">
        <v>3419</v>
      </c>
      <c r="H681" t="s">
        <v>139</v>
      </c>
      <c r="I681" t="s">
        <v>3420</v>
      </c>
      <c r="J681">
        <v>943.08600000000001</v>
      </c>
      <c r="K681" t="s">
        <v>3421</v>
      </c>
      <c r="L681" t="s">
        <v>291</v>
      </c>
      <c r="M681" t="s">
        <v>3422</v>
      </c>
    </row>
    <row r="682" spans="1:13" x14ac:dyDescent="0.25">
      <c r="A682">
        <v>4793609</v>
      </c>
      <c r="B682" t="s">
        <v>3423</v>
      </c>
      <c r="C682" t="str">
        <f>"9783598112614"</f>
        <v>9783598112614</v>
      </c>
      <c r="D682" t="str">
        <f>"9783110974331"</f>
        <v>9783110974331</v>
      </c>
      <c r="E682" t="s">
        <v>270</v>
      </c>
      <c r="F682" s="1">
        <v>34684</v>
      </c>
      <c r="G682" t="s">
        <v>3424</v>
      </c>
      <c r="H682" t="s">
        <v>2293</v>
      </c>
      <c r="I682" t="s">
        <v>3425</v>
      </c>
      <c r="J682">
        <v>16.943086999999899</v>
      </c>
      <c r="L682" t="s">
        <v>291</v>
      </c>
      <c r="M682" t="s">
        <v>3426</v>
      </c>
    </row>
    <row r="683" spans="1:13" x14ac:dyDescent="0.25">
      <c r="A683">
        <v>4793742</v>
      </c>
      <c r="B683" t="s">
        <v>3427</v>
      </c>
      <c r="C683" t="str">
        <f>"9789027979711"</f>
        <v>9789027979711</v>
      </c>
      <c r="D683" t="str">
        <f>"9783110800463"</f>
        <v>9783110800463</v>
      </c>
      <c r="E683" t="s">
        <v>350</v>
      </c>
      <c r="F683" s="1">
        <v>27030</v>
      </c>
      <c r="G683" t="s">
        <v>3428</v>
      </c>
      <c r="H683" t="s">
        <v>2293</v>
      </c>
      <c r="J683" t="s">
        <v>3429</v>
      </c>
      <c r="L683" t="s">
        <v>20</v>
      </c>
      <c r="M683" t="s">
        <v>3430</v>
      </c>
    </row>
    <row r="684" spans="1:13" x14ac:dyDescent="0.25">
      <c r="A684">
        <v>4793916</v>
      </c>
      <c r="B684" t="s">
        <v>3431</v>
      </c>
      <c r="C684" t="str">
        <f>"9783110461145"</f>
        <v>9783110461145</v>
      </c>
      <c r="D684" t="str">
        <f>"9783110463217"</f>
        <v>9783110463217</v>
      </c>
      <c r="E684" t="s">
        <v>350</v>
      </c>
      <c r="F684" s="1">
        <v>42709</v>
      </c>
      <c r="G684" t="s">
        <v>3432</v>
      </c>
      <c r="H684" t="s">
        <v>30</v>
      </c>
      <c r="I684" t="s">
        <v>3433</v>
      </c>
      <c r="J684" t="s">
        <v>3434</v>
      </c>
      <c r="K684" t="s">
        <v>3435</v>
      </c>
      <c r="L684" t="s">
        <v>20</v>
      </c>
      <c r="M684" t="s">
        <v>3436</v>
      </c>
    </row>
    <row r="685" spans="1:13" x14ac:dyDescent="0.25">
      <c r="A685">
        <v>4793928</v>
      </c>
      <c r="B685" t="s">
        <v>3437</v>
      </c>
      <c r="C685" t="str">
        <f>"9783110480108"</f>
        <v>9783110480108</v>
      </c>
      <c r="D685" t="str">
        <f>"9783110488319"</f>
        <v>9783110488319</v>
      </c>
      <c r="E685" t="s">
        <v>270</v>
      </c>
      <c r="F685" s="1">
        <v>42723</v>
      </c>
      <c r="G685" t="s">
        <v>3438</v>
      </c>
      <c r="H685" t="s">
        <v>246</v>
      </c>
      <c r="L685" t="s">
        <v>291</v>
      </c>
      <c r="M685" t="s">
        <v>3439</v>
      </c>
    </row>
    <row r="686" spans="1:13" x14ac:dyDescent="0.25">
      <c r="A686">
        <v>4793929</v>
      </c>
      <c r="B686" t="s">
        <v>3440</v>
      </c>
      <c r="C686" t="str">
        <f>"9783110480115"</f>
        <v>9783110480115</v>
      </c>
      <c r="D686" t="str">
        <f>"9783110488739"</f>
        <v>9783110488739</v>
      </c>
      <c r="E686" t="s">
        <v>270</v>
      </c>
      <c r="F686" s="1">
        <v>42681</v>
      </c>
      <c r="G686" t="s">
        <v>3441</v>
      </c>
      <c r="H686" t="s">
        <v>2683</v>
      </c>
      <c r="L686" t="s">
        <v>291</v>
      </c>
      <c r="M686" t="s">
        <v>3442</v>
      </c>
    </row>
    <row r="687" spans="1:13" x14ac:dyDescent="0.25">
      <c r="A687">
        <v>4803179</v>
      </c>
      <c r="B687" t="s">
        <v>3443</v>
      </c>
      <c r="C687" t="str">
        <f>""</f>
        <v/>
      </c>
      <c r="D687" t="str">
        <f>"9782759226221"</f>
        <v>9782759226221</v>
      </c>
      <c r="E687" t="s">
        <v>2434</v>
      </c>
      <c r="F687" s="1">
        <v>42719</v>
      </c>
      <c r="G687" t="s">
        <v>3444</v>
      </c>
      <c r="H687" t="s">
        <v>2657</v>
      </c>
      <c r="I687" t="s">
        <v>3445</v>
      </c>
      <c r="J687">
        <v>581.30999999999904</v>
      </c>
      <c r="K687" t="s">
        <v>3446</v>
      </c>
      <c r="L687" t="s">
        <v>1279</v>
      </c>
      <c r="M687" t="s">
        <v>3447</v>
      </c>
    </row>
    <row r="688" spans="1:13" x14ac:dyDescent="0.25">
      <c r="A688">
        <v>4804396</v>
      </c>
      <c r="B688" t="s">
        <v>3448</v>
      </c>
      <c r="C688" t="str">
        <f>"9783110464313"</f>
        <v>9783110464313</v>
      </c>
      <c r="D688" t="str">
        <f>"9783110464337"</f>
        <v>9783110464337</v>
      </c>
      <c r="E688" t="s">
        <v>350</v>
      </c>
      <c r="F688" s="1">
        <v>42723</v>
      </c>
      <c r="G688" t="s">
        <v>3449</v>
      </c>
      <c r="H688" t="s">
        <v>70</v>
      </c>
      <c r="I688" t="s">
        <v>3450</v>
      </c>
      <c r="L688" t="s">
        <v>291</v>
      </c>
      <c r="M688" t="s">
        <v>3451</v>
      </c>
    </row>
    <row r="689" spans="1:13" x14ac:dyDescent="0.25">
      <c r="A689">
        <v>4804411</v>
      </c>
      <c r="B689" t="s">
        <v>3452</v>
      </c>
      <c r="C689" t="str">
        <f>"9783110462777"</f>
        <v>9783110462777</v>
      </c>
      <c r="D689" t="str">
        <f>"9783110467925"</f>
        <v>9783110467925</v>
      </c>
      <c r="E689" t="s">
        <v>350</v>
      </c>
      <c r="F689" s="1">
        <v>42723</v>
      </c>
      <c r="G689" t="s">
        <v>3453</v>
      </c>
      <c r="H689" t="s">
        <v>3454</v>
      </c>
      <c r="L689" t="s">
        <v>291</v>
      </c>
      <c r="M689" t="s">
        <v>3455</v>
      </c>
    </row>
    <row r="690" spans="1:13" x14ac:dyDescent="0.25">
      <c r="A690">
        <v>4810088</v>
      </c>
      <c r="B690" t="s">
        <v>3456</v>
      </c>
      <c r="C690" t="str">
        <f>"9783110473773"</f>
        <v>9783110473773</v>
      </c>
      <c r="D690" t="str">
        <f>"9783110473780"</f>
        <v>9783110473780</v>
      </c>
      <c r="E690" t="s">
        <v>350</v>
      </c>
      <c r="F690" s="1">
        <v>42604</v>
      </c>
      <c r="G690" t="s">
        <v>3457</v>
      </c>
      <c r="H690" t="s">
        <v>64</v>
      </c>
      <c r="I690" t="s">
        <v>3458</v>
      </c>
      <c r="J690">
        <v>302.30284999999998</v>
      </c>
      <c r="K690" t="s">
        <v>3459</v>
      </c>
      <c r="L690" t="s">
        <v>20</v>
      </c>
      <c r="M690" t="s">
        <v>3460</v>
      </c>
    </row>
    <row r="691" spans="1:13" x14ac:dyDescent="0.25">
      <c r="A691">
        <v>4812837</v>
      </c>
      <c r="B691" t="s">
        <v>3461</v>
      </c>
      <c r="C691" t="str">
        <f>"9783110472042"</f>
        <v>9783110472042</v>
      </c>
      <c r="D691" t="str">
        <f>"9783110472059"</f>
        <v>9783110472059</v>
      </c>
      <c r="E691" t="s">
        <v>350</v>
      </c>
      <c r="F691" s="1">
        <v>42541</v>
      </c>
      <c r="G691" t="s">
        <v>3462</v>
      </c>
      <c r="H691" t="s">
        <v>851</v>
      </c>
      <c r="I691" t="s">
        <v>3463</v>
      </c>
      <c r="J691">
        <v>410.28500000000003</v>
      </c>
      <c r="K691" t="s">
        <v>3464</v>
      </c>
      <c r="L691" t="s">
        <v>20</v>
      </c>
      <c r="M691" t="s">
        <v>3465</v>
      </c>
    </row>
    <row r="692" spans="1:13" x14ac:dyDescent="0.25">
      <c r="A692">
        <v>4812841</v>
      </c>
      <c r="B692" t="s">
        <v>3466</v>
      </c>
      <c r="C692" t="str">
        <f>"9783110485905"</f>
        <v>9783110485905</v>
      </c>
      <c r="D692" t="str">
        <f>"9783110485912"</f>
        <v>9783110485912</v>
      </c>
      <c r="E692" t="s">
        <v>350</v>
      </c>
      <c r="F692" s="1">
        <v>42695</v>
      </c>
      <c r="G692" t="s">
        <v>3467</v>
      </c>
      <c r="H692" t="s">
        <v>851</v>
      </c>
      <c r="I692" t="s">
        <v>3468</v>
      </c>
      <c r="J692" t="s">
        <v>3469</v>
      </c>
      <c r="K692" t="s">
        <v>3470</v>
      </c>
      <c r="L692" t="s">
        <v>20</v>
      </c>
      <c r="M692" t="s">
        <v>3471</v>
      </c>
    </row>
    <row r="693" spans="1:13" x14ac:dyDescent="0.25">
      <c r="A693">
        <v>4822074</v>
      </c>
      <c r="B693" t="s">
        <v>3472</v>
      </c>
      <c r="C693" t="str">
        <f>"9788376560465"</f>
        <v>9788376560465</v>
      </c>
      <c r="D693" t="str">
        <f>"9788376560472"</f>
        <v>9788376560472</v>
      </c>
      <c r="E693" t="s">
        <v>350</v>
      </c>
      <c r="F693" s="1">
        <v>42723</v>
      </c>
      <c r="G693" t="s">
        <v>3473</v>
      </c>
      <c r="H693" t="s">
        <v>3474</v>
      </c>
      <c r="I693" t="s">
        <v>3475</v>
      </c>
      <c r="J693">
        <v>614.57320947999995</v>
      </c>
      <c r="K693" t="s">
        <v>3476</v>
      </c>
      <c r="L693" t="s">
        <v>20</v>
      </c>
      <c r="M693" t="s">
        <v>3477</v>
      </c>
    </row>
    <row r="694" spans="1:13" x14ac:dyDescent="0.25">
      <c r="A694">
        <v>4822100</v>
      </c>
      <c r="B694" t="s">
        <v>3478</v>
      </c>
      <c r="C694" t="str">
        <f>"9783110471731"</f>
        <v>9783110471731</v>
      </c>
      <c r="D694" t="str">
        <f>"9783110471748"</f>
        <v>9783110471748</v>
      </c>
      <c r="E694" t="s">
        <v>350</v>
      </c>
      <c r="F694" s="1">
        <v>42422</v>
      </c>
      <c r="G694" t="s">
        <v>3479</v>
      </c>
      <c r="H694" t="s">
        <v>3480</v>
      </c>
      <c r="I694" t="s">
        <v>3481</v>
      </c>
      <c r="J694">
        <v>628.20000000000005</v>
      </c>
      <c r="K694" t="s">
        <v>3482</v>
      </c>
      <c r="L694" t="s">
        <v>20</v>
      </c>
      <c r="M694" t="s">
        <v>3483</v>
      </c>
    </row>
    <row r="695" spans="1:13" x14ac:dyDescent="0.25">
      <c r="A695">
        <v>4822105</v>
      </c>
      <c r="B695" t="s">
        <v>3484</v>
      </c>
      <c r="C695" t="str">
        <f>"9783110484595"</f>
        <v>9783110484595</v>
      </c>
      <c r="D695" t="str">
        <f>"9783110484663"</f>
        <v>9783110484663</v>
      </c>
      <c r="E695" t="s">
        <v>350</v>
      </c>
      <c r="F695" s="1">
        <v>42800</v>
      </c>
      <c r="G695" t="s">
        <v>3485</v>
      </c>
      <c r="H695" t="s">
        <v>70</v>
      </c>
      <c r="I695" t="s">
        <v>3486</v>
      </c>
      <c r="J695">
        <v>808</v>
      </c>
      <c r="K695" t="s">
        <v>3487</v>
      </c>
      <c r="L695" t="s">
        <v>20</v>
      </c>
      <c r="M695" t="s">
        <v>3488</v>
      </c>
    </row>
    <row r="696" spans="1:13" x14ac:dyDescent="0.25">
      <c r="A696">
        <v>4831155</v>
      </c>
      <c r="B696" t="s">
        <v>3489</v>
      </c>
      <c r="C696" t="str">
        <f>"9781783742493"</f>
        <v>9781783742493</v>
      </c>
      <c r="D696" t="str">
        <f>"9781783742509"</f>
        <v>9781783742509</v>
      </c>
      <c r="E696" t="s">
        <v>2270</v>
      </c>
      <c r="F696" s="1">
        <v>42786</v>
      </c>
      <c r="G696" t="s">
        <v>3490</v>
      </c>
      <c r="H696" t="s">
        <v>3491</v>
      </c>
      <c r="L696" t="s">
        <v>20</v>
      </c>
      <c r="M696" t="s">
        <v>3492</v>
      </c>
    </row>
    <row r="697" spans="1:13" x14ac:dyDescent="0.25">
      <c r="A697">
        <v>4831156</v>
      </c>
      <c r="B697" t="s">
        <v>3493</v>
      </c>
      <c r="C697" t="str">
        <f>"9781783742646"</f>
        <v>9781783742646</v>
      </c>
      <c r="D697" t="str">
        <f>"9781783742653"</f>
        <v>9781783742653</v>
      </c>
      <c r="E697" t="s">
        <v>2270</v>
      </c>
      <c r="F697" s="1">
        <v>42786</v>
      </c>
      <c r="G697" t="s">
        <v>3494</v>
      </c>
      <c r="H697" t="s">
        <v>70</v>
      </c>
      <c r="L697" t="s">
        <v>20</v>
      </c>
      <c r="M697" t="s">
        <v>3495</v>
      </c>
    </row>
    <row r="698" spans="1:13" x14ac:dyDescent="0.25">
      <c r="A698">
        <v>4831157</v>
      </c>
      <c r="B698" t="s">
        <v>3496</v>
      </c>
      <c r="C698" t="str">
        <f>"9781783743094"</f>
        <v>9781783743094</v>
      </c>
      <c r="D698" t="str">
        <f>"9781783743100"</f>
        <v>9781783743100</v>
      </c>
      <c r="E698" t="s">
        <v>2270</v>
      </c>
      <c r="F698" s="1">
        <v>42751</v>
      </c>
      <c r="G698" t="s">
        <v>3497</v>
      </c>
      <c r="H698" t="s">
        <v>3498</v>
      </c>
      <c r="I698" t="s">
        <v>3499</v>
      </c>
      <c r="J698">
        <v>333.95</v>
      </c>
      <c r="K698" t="s">
        <v>3500</v>
      </c>
      <c r="L698" t="s">
        <v>20</v>
      </c>
      <c r="M698" t="s">
        <v>3501</v>
      </c>
    </row>
    <row r="699" spans="1:13" x14ac:dyDescent="0.25">
      <c r="A699">
        <v>4831158</v>
      </c>
      <c r="B699" t="s">
        <v>3502</v>
      </c>
      <c r="C699" t="str">
        <f>"9781783742691"</f>
        <v>9781783742691</v>
      </c>
      <c r="D699" t="str">
        <f>"9781783742707"</f>
        <v>9781783742707</v>
      </c>
      <c r="E699" t="s">
        <v>2270</v>
      </c>
      <c r="F699" s="1">
        <v>42809</v>
      </c>
      <c r="G699" t="s">
        <v>3503</v>
      </c>
      <c r="H699" t="s">
        <v>30</v>
      </c>
      <c r="L699" t="s">
        <v>20</v>
      </c>
      <c r="M699" t="s">
        <v>3504</v>
      </c>
    </row>
    <row r="700" spans="1:13" x14ac:dyDescent="0.25">
      <c r="A700">
        <v>4831159</v>
      </c>
      <c r="B700" t="s">
        <v>3505</v>
      </c>
      <c r="C700" t="str">
        <f>"9781783743049"</f>
        <v>9781783743049</v>
      </c>
      <c r="D700" t="str">
        <f>"9781783743056"</f>
        <v>9781783743056</v>
      </c>
      <c r="E700" t="s">
        <v>2270</v>
      </c>
      <c r="F700" s="1">
        <v>42758</v>
      </c>
      <c r="G700" t="s">
        <v>3506</v>
      </c>
      <c r="H700" t="s">
        <v>712</v>
      </c>
      <c r="L700" t="s">
        <v>20</v>
      </c>
      <c r="M700" t="s">
        <v>3507</v>
      </c>
    </row>
    <row r="701" spans="1:13" x14ac:dyDescent="0.25">
      <c r="A701">
        <v>4845337</v>
      </c>
      <c r="B701" t="s">
        <v>3508</v>
      </c>
      <c r="C701" t="str">
        <f>"9782759226177"</f>
        <v>9782759226177</v>
      </c>
      <c r="D701" t="str">
        <f>"9782759226191"</f>
        <v>9782759226191</v>
      </c>
      <c r="E701" t="s">
        <v>2434</v>
      </c>
      <c r="F701" s="1">
        <v>42917</v>
      </c>
      <c r="G701" t="s">
        <v>3509</v>
      </c>
      <c r="H701" t="s">
        <v>266</v>
      </c>
      <c r="L701" t="s">
        <v>1279</v>
      </c>
      <c r="M701" t="s">
        <v>3510</v>
      </c>
    </row>
    <row r="702" spans="1:13" x14ac:dyDescent="0.25">
      <c r="A702">
        <v>4864836</v>
      </c>
      <c r="B702" t="s">
        <v>3511</v>
      </c>
      <c r="C702" t="str">
        <f>"9782759208869"</f>
        <v>9782759208869</v>
      </c>
      <c r="D702" t="str">
        <f>"9782759208876"</f>
        <v>9782759208876</v>
      </c>
      <c r="E702" t="s">
        <v>2434</v>
      </c>
      <c r="F702" s="1">
        <v>40179</v>
      </c>
      <c r="G702" t="s">
        <v>3512</v>
      </c>
      <c r="H702" t="s">
        <v>1283</v>
      </c>
      <c r="I702" t="s">
        <v>3513</v>
      </c>
      <c r="J702">
        <v>636.00229999999897</v>
      </c>
      <c r="K702" t="s">
        <v>3514</v>
      </c>
      <c r="L702" t="s">
        <v>1279</v>
      </c>
      <c r="M702" t="s">
        <v>3515</v>
      </c>
    </row>
    <row r="703" spans="1:13" x14ac:dyDescent="0.25">
      <c r="A703">
        <v>4873061</v>
      </c>
      <c r="B703" t="s">
        <v>3516</v>
      </c>
      <c r="C703" t="str">
        <f>""</f>
        <v/>
      </c>
      <c r="D703" t="str">
        <f>"9782759227198"</f>
        <v>9782759227198</v>
      </c>
      <c r="E703" t="s">
        <v>2434</v>
      </c>
      <c r="F703" s="1">
        <v>42887</v>
      </c>
      <c r="G703" t="s">
        <v>3517</v>
      </c>
      <c r="H703" t="s">
        <v>266</v>
      </c>
      <c r="L703" t="s">
        <v>1279</v>
      </c>
      <c r="M703" t="s">
        <v>3518</v>
      </c>
    </row>
    <row r="704" spans="1:13" x14ac:dyDescent="0.25">
      <c r="A704">
        <v>4901448</v>
      </c>
      <c r="B704" t="s">
        <v>3519</v>
      </c>
      <c r="C704" t="str">
        <f>"9781783740888"</f>
        <v>9781783740888</v>
      </c>
      <c r="D704" t="str">
        <f>"9781783740895"</f>
        <v>9781783740895</v>
      </c>
      <c r="E704" t="s">
        <v>2270</v>
      </c>
      <c r="F704" s="1">
        <v>42846</v>
      </c>
      <c r="G704" t="s">
        <v>3520</v>
      </c>
      <c r="H704" t="s">
        <v>70</v>
      </c>
      <c r="L704" t="s">
        <v>20</v>
      </c>
      <c r="M704" t="s">
        <v>3521</v>
      </c>
    </row>
    <row r="705" spans="1:13" x14ac:dyDescent="0.25">
      <c r="A705">
        <v>4901449</v>
      </c>
      <c r="B705" t="s">
        <v>3522</v>
      </c>
      <c r="C705" t="str">
        <f>"9781783743797"</f>
        <v>9781783743797</v>
      </c>
      <c r="D705" t="str">
        <f>"9781783743803"</f>
        <v>9781783743803</v>
      </c>
      <c r="E705" t="s">
        <v>2270</v>
      </c>
      <c r="F705" s="1">
        <v>42909</v>
      </c>
      <c r="G705" t="s">
        <v>3523</v>
      </c>
      <c r="H705" t="s">
        <v>3524</v>
      </c>
      <c r="L705" t="s">
        <v>20</v>
      </c>
      <c r="M705" t="s">
        <v>3525</v>
      </c>
    </row>
    <row r="706" spans="1:13" x14ac:dyDescent="0.25">
      <c r="A706">
        <v>4901450</v>
      </c>
      <c r="B706" t="s">
        <v>3526</v>
      </c>
      <c r="C706" t="str">
        <f>"9781783743247"</f>
        <v>9781783743247</v>
      </c>
      <c r="D706" t="str">
        <f>"9781783743254"</f>
        <v>9781783743254</v>
      </c>
      <c r="E706" t="s">
        <v>2270</v>
      </c>
      <c r="F706" s="1">
        <v>42884</v>
      </c>
      <c r="G706" t="s">
        <v>3527</v>
      </c>
      <c r="H706" t="s">
        <v>120</v>
      </c>
      <c r="L706" t="s">
        <v>20</v>
      </c>
      <c r="M706" t="s">
        <v>3528</v>
      </c>
    </row>
    <row r="707" spans="1:13" x14ac:dyDescent="0.25">
      <c r="A707">
        <v>4901451</v>
      </c>
      <c r="B707" t="s">
        <v>3529</v>
      </c>
      <c r="C707" t="str">
        <f>"9781783743292"</f>
        <v>9781783743292</v>
      </c>
      <c r="D707" t="str">
        <f>"9781783743308"</f>
        <v>9781783743308</v>
      </c>
      <c r="E707" t="s">
        <v>2270</v>
      </c>
      <c r="F707" s="1">
        <v>42901</v>
      </c>
      <c r="G707" t="s">
        <v>3530</v>
      </c>
      <c r="H707" t="s">
        <v>64</v>
      </c>
      <c r="J707">
        <v>398.21</v>
      </c>
      <c r="L707" t="s">
        <v>20</v>
      </c>
      <c r="M707" t="s">
        <v>3531</v>
      </c>
    </row>
    <row r="708" spans="1:13" x14ac:dyDescent="0.25">
      <c r="A708">
        <v>4901452</v>
      </c>
      <c r="B708" t="s">
        <v>3532</v>
      </c>
      <c r="C708" t="str">
        <f>"9781783743445"</f>
        <v>9781783743445</v>
      </c>
      <c r="D708" t="str">
        <f>"9781783743452"</f>
        <v>9781783743452</v>
      </c>
      <c r="E708" t="s">
        <v>2270</v>
      </c>
      <c r="F708" s="1">
        <v>42856</v>
      </c>
      <c r="G708" t="s">
        <v>3533</v>
      </c>
      <c r="H708" t="s">
        <v>3534</v>
      </c>
      <c r="L708" t="s">
        <v>20</v>
      </c>
      <c r="M708" t="s">
        <v>3535</v>
      </c>
    </row>
    <row r="709" spans="1:13" x14ac:dyDescent="0.25">
      <c r="A709">
        <v>4901459</v>
      </c>
      <c r="B709" t="s">
        <v>3536</v>
      </c>
      <c r="C709" t="str">
        <f>"9781783743193"</f>
        <v>9781783743193</v>
      </c>
      <c r="D709" t="str">
        <f>"9781783743209"</f>
        <v>9781783743209</v>
      </c>
      <c r="E709" t="s">
        <v>2270</v>
      </c>
      <c r="F709" s="1">
        <v>42870</v>
      </c>
      <c r="G709" t="s">
        <v>3537</v>
      </c>
      <c r="H709" t="s">
        <v>3538</v>
      </c>
      <c r="L709" t="s">
        <v>20</v>
      </c>
      <c r="M709" t="s">
        <v>3539</v>
      </c>
    </row>
    <row r="710" spans="1:13" x14ac:dyDescent="0.25">
      <c r="A710">
        <v>4901620</v>
      </c>
      <c r="B710" t="s">
        <v>3540</v>
      </c>
      <c r="C710" t="str">
        <f>""</f>
        <v/>
      </c>
      <c r="D710" t="str">
        <f>"9782759227310"</f>
        <v>9782759227310</v>
      </c>
      <c r="E710" t="s">
        <v>2434</v>
      </c>
      <c r="F710" s="1">
        <v>42919</v>
      </c>
      <c r="G710" t="s">
        <v>3541</v>
      </c>
      <c r="H710" t="s">
        <v>83</v>
      </c>
      <c r="L710" t="s">
        <v>20</v>
      </c>
      <c r="M710" t="s">
        <v>3542</v>
      </c>
    </row>
    <row r="711" spans="1:13" x14ac:dyDescent="0.25">
      <c r="A711">
        <v>5106141</v>
      </c>
      <c r="B711" t="s">
        <v>3543</v>
      </c>
      <c r="C711" t="str">
        <f>"9783110533453"</f>
        <v>9783110533453</v>
      </c>
      <c r="D711" t="str">
        <f>"9783110534511"</f>
        <v>9783110534511</v>
      </c>
      <c r="E711" t="s">
        <v>350</v>
      </c>
      <c r="F711" s="1">
        <v>43018</v>
      </c>
      <c r="G711" t="s">
        <v>3544</v>
      </c>
      <c r="H711" t="s">
        <v>16</v>
      </c>
      <c r="I711" t="s">
        <v>3545</v>
      </c>
      <c r="J711" t="s">
        <v>3546</v>
      </c>
      <c r="K711" t="s">
        <v>3547</v>
      </c>
      <c r="L711" t="s">
        <v>291</v>
      </c>
      <c r="M711" t="s">
        <v>3548</v>
      </c>
    </row>
    <row r="712" spans="1:13" x14ac:dyDescent="0.25">
      <c r="A712">
        <v>5115277</v>
      </c>
      <c r="B712" t="s">
        <v>3549</v>
      </c>
      <c r="C712" t="str">
        <f>"9781783743490"</f>
        <v>9781783743490</v>
      </c>
      <c r="D712" t="str">
        <f>"9781783743506"</f>
        <v>9781783743506</v>
      </c>
      <c r="E712" t="s">
        <v>2270</v>
      </c>
      <c r="F712" s="1">
        <v>42926</v>
      </c>
      <c r="G712" t="s">
        <v>3550</v>
      </c>
      <c r="H712" t="s">
        <v>70</v>
      </c>
      <c r="L712" t="s">
        <v>20</v>
      </c>
      <c r="M712" t="s">
        <v>3551</v>
      </c>
    </row>
    <row r="713" spans="1:13" x14ac:dyDescent="0.25">
      <c r="A713">
        <v>5115278</v>
      </c>
      <c r="B713" t="s">
        <v>3552</v>
      </c>
      <c r="C713" t="str">
        <f>"9781783743698"</f>
        <v>9781783743698</v>
      </c>
      <c r="D713" t="str">
        <f>"9781783743704"</f>
        <v>9781783743704</v>
      </c>
      <c r="E713" t="s">
        <v>2270</v>
      </c>
      <c r="F713" s="1">
        <v>43017</v>
      </c>
      <c r="G713" t="s">
        <v>3553</v>
      </c>
      <c r="H713" t="s">
        <v>489</v>
      </c>
      <c r="L713" t="s">
        <v>20</v>
      </c>
      <c r="M713" t="s">
        <v>3554</v>
      </c>
    </row>
    <row r="714" spans="1:13" x14ac:dyDescent="0.25">
      <c r="A714">
        <v>5115280</v>
      </c>
      <c r="B714" t="s">
        <v>3555</v>
      </c>
      <c r="C714" t="str">
        <f>"9781783743896"</f>
        <v>9781783743896</v>
      </c>
      <c r="D714" t="str">
        <f>"9781783743902"</f>
        <v>9781783743902</v>
      </c>
      <c r="E714" t="s">
        <v>2270</v>
      </c>
      <c r="F714" s="1">
        <v>42947</v>
      </c>
      <c r="G714" t="s">
        <v>3556</v>
      </c>
      <c r="H714" t="s">
        <v>3557</v>
      </c>
      <c r="L714" t="s">
        <v>20</v>
      </c>
      <c r="M714" t="s">
        <v>3558</v>
      </c>
    </row>
    <row r="715" spans="1:13" x14ac:dyDescent="0.25">
      <c r="A715">
        <v>5115281</v>
      </c>
      <c r="B715" t="s">
        <v>3559</v>
      </c>
      <c r="C715" t="str">
        <f>"9781783743995"</f>
        <v>9781783743995</v>
      </c>
      <c r="D715" t="str">
        <f>"9781783744008"</f>
        <v>9781783744008</v>
      </c>
      <c r="E715" t="s">
        <v>2270</v>
      </c>
      <c r="F715" s="1">
        <v>42968</v>
      </c>
      <c r="G715" t="s">
        <v>3533</v>
      </c>
      <c r="H715" t="s">
        <v>3534</v>
      </c>
      <c r="L715" t="s">
        <v>291</v>
      </c>
      <c r="M715" t="s">
        <v>3560</v>
      </c>
    </row>
    <row r="716" spans="1:13" x14ac:dyDescent="0.25">
      <c r="A716">
        <v>5115282</v>
      </c>
      <c r="B716" t="s">
        <v>3561</v>
      </c>
      <c r="C716" t="str">
        <f>"9781783744046"</f>
        <v>9781783744046</v>
      </c>
      <c r="D716" t="str">
        <f>"9781783744053"</f>
        <v>9781783744053</v>
      </c>
      <c r="E716" t="s">
        <v>2270</v>
      </c>
      <c r="F716" s="1">
        <v>43024</v>
      </c>
      <c r="G716" t="s">
        <v>3562</v>
      </c>
      <c r="H716" t="s">
        <v>64</v>
      </c>
      <c r="J716">
        <v>303.39999999999998</v>
      </c>
      <c r="L716" t="s">
        <v>20</v>
      </c>
      <c r="M716" t="s">
        <v>3563</v>
      </c>
    </row>
    <row r="717" spans="1:13" x14ac:dyDescent="0.25">
      <c r="A717">
        <v>5115283</v>
      </c>
      <c r="B717" t="s">
        <v>3564</v>
      </c>
      <c r="C717" t="str">
        <f>"9781783742240"</f>
        <v>9781783742240</v>
      </c>
      <c r="D717" t="str">
        <f>"9781783742257"</f>
        <v>9781783742257</v>
      </c>
      <c r="E717" t="s">
        <v>2270</v>
      </c>
      <c r="F717" s="1">
        <v>42986</v>
      </c>
      <c r="G717" t="s">
        <v>3565</v>
      </c>
      <c r="H717" t="s">
        <v>70</v>
      </c>
      <c r="L717" t="s">
        <v>20</v>
      </c>
      <c r="M717" t="s">
        <v>3566</v>
      </c>
    </row>
    <row r="718" spans="1:13" x14ac:dyDescent="0.25">
      <c r="A718">
        <v>5153913</v>
      </c>
      <c r="B718" t="s">
        <v>3567</v>
      </c>
      <c r="C718" t="str">
        <f>"9783110194777"</f>
        <v>9783110194777</v>
      </c>
      <c r="D718" t="str">
        <f>"9783110216943"</f>
        <v>9783110216943</v>
      </c>
      <c r="E718" t="s">
        <v>270</v>
      </c>
      <c r="F718" s="1">
        <v>43454</v>
      </c>
      <c r="G718" t="s">
        <v>3568</v>
      </c>
      <c r="H718" t="s">
        <v>16</v>
      </c>
      <c r="I718" t="s">
        <v>3569</v>
      </c>
      <c r="J718">
        <v>141.0943</v>
      </c>
      <c r="K718" t="s">
        <v>3570</v>
      </c>
      <c r="L718" t="s">
        <v>291</v>
      </c>
      <c r="M718" t="s">
        <v>3571</v>
      </c>
    </row>
    <row r="719" spans="1:13" x14ac:dyDescent="0.25">
      <c r="A719">
        <v>5216067</v>
      </c>
      <c r="B719" t="s">
        <v>3572</v>
      </c>
      <c r="C719" t="str">
        <f>"9781783744220"</f>
        <v>9781783744220</v>
      </c>
      <c r="D719" t="str">
        <f>"9781783744237"</f>
        <v>9781783744237</v>
      </c>
      <c r="E719" t="s">
        <v>2270</v>
      </c>
      <c r="F719" s="1">
        <v>43080</v>
      </c>
      <c r="G719" t="s">
        <v>3573</v>
      </c>
      <c r="H719" t="s">
        <v>64</v>
      </c>
      <c r="J719">
        <v>306.3</v>
      </c>
      <c r="L719" t="s">
        <v>20</v>
      </c>
      <c r="M719" t="s">
        <v>3574</v>
      </c>
    </row>
    <row r="720" spans="1:13" x14ac:dyDescent="0.25">
      <c r="A720">
        <v>5216068</v>
      </c>
      <c r="B720" t="s">
        <v>3575</v>
      </c>
      <c r="C720" t="str">
        <f>"9781783742844"</f>
        <v>9781783742844</v>
      </c>
      <c r="D720" t="str">
        <f>"9781783742851"</f>
        <v>9781783742851</v>
      </c>
      <c r="E720" t="s">
        <v>2270</v>
      </c>
      <c r="F720" s="1">
        <v>43038</v>
      </c>
      <c r="G720" t="s">
        <v>3576</v>
      </c>
      <c r="H720" t="s">
        <v>16</v>
      </c>
      <c r="L720" t="s">
        <v>20</v>
      </c>
      <c r="M720" t="s">
        <v>3577</v>
      </c>
    </row>
    <row r="721" spans="1:13" x14ac:dyDescent="0.25">
      <c r="A721">
        <v>5216069</v>
      </c>
      <c r="B721" t="s">
        <v>3578</v>
      </c>
      <c r="C721" t="str">
        <f>"9781783743391"</f>
        <v>9781783743391</v>
      </c>
      <c r="D721" t="str">
        <f>"9781783743407"</f>
        <v>9781783743407</v>
      </c>
      <c r="E721" t="s">
        <v>2270</v>
      </c>
      <c r="F721" s="1">
        <v>43052</v>
      </c>
      <c r="G721" t="s">
        <v>3579</v>
      </c>
      <c r="H721" t="s">
        <v>246</v>
      </c>
      <c r="L721" t="s">
        <v>20</v>
      </c>
      <c r="M721" t="s">
        <v>3580</v>
      </c>
    </row>
    <row r="722" spans="1:13" x14ac:dyDescent="0.25">
      <c r="A722">
        <v>5216070</v>
      </c>
      <c r="B722" t="s">
        <v>3581</v>
      </c>
      <c r="C722" t="str">
        <f>"9781783743599"</f>
        <v>9781783743599</v>
      </c>
      <c r="D722" t="str">
        <f>"9781783743605"</f>
        <v>9781783743605</v>
      </c>
      <c r="E722" t="s">
        <v>2270</v>
      </c>
      <c r="F722" s="1">
        <v>43073</v>
      </c>
      <c r="G722" t="s">
        <v>3073</v>
      </c>
      <c r="H722" t="s">
        <v>70</v>
      </c>
      <c r="L722" t="s">
        <v>20</v>
      </c>
      <c r="M722" t="s">
        <v>3582</v>
      </c>
    </row>
    <row r="723" spans="1:13" x14ac:dyDescent="0.25">
      <c r="A723">
        <v>5216071</v>
      </c>
      <c r="B723" t="s">
        <v>3583</v>
      </c>
      <c r="C723" t="str">
        <f>"9781783743742"</f>
        <v>9781783743742</v>
      </c>
      <c r="D723" t="str">
        <f>"9781783743759"</f>
        <v>9781783743759</v>
      </c>
      <c r="E723" t="s">
        <v>2270</v>
      </c>
      <c r="F723" s="1">
        <v>43066</v>
      </c>
      <c r="G723" t="s">
        <v>3584</v>
      </c>
      <c r="H723" t="s">
        <v>139</v>
      </c>
      <c r="L723" t="s">
        <v>20</v>
      </c>
      <c r="M723" t="s">
        <v>3585</v>
      </c>
    </row>
    <row r="724" spans="1:13" x14ac:dyDescent="0.25">
      <c r="A724">
        <v>5216072</v>
      </c>
      <c r="B724" t="s">
        <v>3586</v>
      </c>
      <c r="C724" t="str">
        <f>"9781783744114"</f>
        <v>9781783744114</v>
      </c>
      <c r="D724" t="str">
        <f>"9781783744121"</f>
        <v>9781783744121</v>
      </c>
      <c r="E724" t="s">
        <v>2270</v>
      </c>
      <c r="F724" s="1">
        <v>43087</v>
      </c>
      <c r="G724" t="s">
        <v>3587</v>
      </c>
      <c r="H724" t="s">
        <v>961</v>
      </c>
      <c r="L724" t="s">
        <v>20</v>
      </c>
      <c r="M724" t="s">
        <v>3588</v>
      </c>
    </row>
    <row r="725" spans="1:13" x14ac:dyDescent="0.25">
      <c r="A725">
        <v>5216073</v>
      </c>
      <c r="B725" t="s">
        <v>3589</v>
      </c>
      <c r="C725" t="str">
        <f>"9781783743841"</f>
        <v>9781783743841</v>
      </c>
      <c r="D725" t="str">
        <f>"9781783743858"</f>
        <v>9781783743858</v>
      </c>
      <c r="E725" t="s">
        <v>2270</v>
      </c>
      <c r="F725" s="1">
        <v>43038</v>
      </c>
      <c r="G725" t="s">
        <v>3590</v>
      </c>
      <c r="H725" t="s">
        <v>70</v>
      </c>
      <c r="L725" t="s">
        <v>20</v>
      </c>
      <c r="M725" t="s">
        <v>3591</v>
      </c>
    </row>
    <row r="726" spans="1:13" x14ac:dyDescent="0.25">
      <c r="A726">
        <v>5253046</v>
      </c>
      <c r="B726" t="s">
        <v>3592</v>
      </c>
      <c r="C726" t="str">
        <f>"9781783740536"</f>
        <v>9781783740536</v>
      </c>
      <c r="D726" t="str">
        <f>"9781783740543"</f>
        <v>9781783740543</v>
      </c>
      <c r="E726" t="s">
        <v>2270</v>
      </c>
      <c r="F726" s="1">
        <v>41966</v>
      </c>
      <c r="G726" t="s">
        <v>3593</v>
      </c>
      <c r="H726" t="s">
        <v>3594</v>
      </c>
      <c r="L726" t="s">
        <v>20</v>
      </c>
      <c r="M726" t="s">
        <v>3595</v>
      </c>
    </row>
    <row r="727" spans="1:13" x14ac:dyDescent="0.25">
      <c r="A727">
        <v>5253047</v>
      </c>
      <c r="B727" t="s">
        <v>3596</v>
      </c>
      <c r="C727" t="str">
        <f>"9781783740680"</f>
        <v>9781783740680</v>
      </c>
      <c r="D727" t="str">
        <f>"9781783740697"</f>
        <v>9781783740697</v>
      </c>
      <c r="E727" t="s">
        <v>2270</v>
      </c>
      <c r="F727" s="1">
        <v>41925</v>
      </c>
      <c r="G727" t="s">
        <v>3597</v>
      </c>
      <c r="H727" t="s">
        <v>3598</v>
      </c>
      <c r="L727" t="s">
        <v>20</v>
      </c>
      <c r="M727" t="s">
        <v>3599</v>
      </c>
    </row>
    <row r="728" spans="1:13" x14ac:dyDescent="0.25">
      <c r="A728">
        <v>5253048</v>
      </c>
      <c r="B728" t="s">
        <v>3600</v>
      </c>
      <c r="C728" t="str">
        <f>"9781783740734"</f>
        <v>9781783740734</v>
      </c>
      <c r="D728" t="str">
        <f>"9781783740741"</f>
        <v>9781783740741</v>
      </c>
      <c r="E728" t="s">
        <v>2270</v>
      </c>
      <c r="F728" s="1">
        <v>41903</v>
      </c>
      <c r="G728" t="s">
        <v>3601</v>
      </c>
      <c r="H728" t="s">
        <v>16</v>
      </c>
      <c r="L728" t="s">
        <v>20</v>
      </c>
      <c r="M728" t="s">
        <v>3602</v>
      </c>
    </row>
    <row r="729" spans="1:13" x14ac:dyDescent="0.25">
      <c r="A729">
        <v>5253049</v>
      </c>
      <c r="B729" t="s">
        <v>3603</v>
      </c>
      <c r="C729" t="str">
        <f>"9781783740932"</f>
        <v>9781783740932</v>
      </c>
      <c r="D729" t="str">
        <f>"9781783740949"</f>
        <v>9781783740949</v>
      </c>
      <c r="E729" t="s">
        <v>2270</v>
      </c>
      <c r="F729" s="1">
        <v>41980</v>
      </c>
      <c r="G729" t="s">
        <v>3604</v>
      </c>
      <c r="H729" t="s">
        <v>30</v>
      </c>
      <c r="J729">
        <v>321.8</v>
      </c>
      <c r="L729" t="s">
        <v>20</v>
      </c>
      <c r="M729" t="s">
        <v>3605</v>
      </c>
    </row>
    <row r="730" spans="1:13" x14ac:dyDescent="0.25">
      <c r="A730">
        <v>5253050</v>
      </c>
      <c r="B730" t="s">
        <v>3606</v>
      </c>
      <c r="C730" t="str">
        <f>"9781909254862"</f>
        <v>9781909254862</v>
      </c>
      <c r="D730" t="str">
        <f>"9781909254879"</f>
        <v>9781909254879</v>
      </c>
      <c r="E730" t="s">
        <v>2270</v>
      </c>
      <c r="F730" s="1">
        <v>41967</v>
      </c>
      <c r="G730" t="s">
        <v>3607</v>
      </c>
      <c r="H730" t="s">
        <v>3608</v>
      </c>
      <c r="L730" t="s">
        <v>20</v>
      </c>
      <c r="M730" t="s">
        <v>3609</v>
      </c>
    </row>
    <row r="731" spans="1:13" x14ac:dyDescent="0.25">
      <c r="A731">
        <v>5255601</v>
      </c>
      <c r="B731" t="s">
        <v>3610</v>
      </c>
      <c r="C731" t="str">
        <f>"9782759226375"</f>
        <v>9782759226375</v>
      </c>
      <c r="D731" t="str">
        <f>"9782759226399"</f>
        <v>9782759226399</v>
      </c>
      <c r="E731" t="s">
        <v>2434</v>
      </c>
      <c r="F731" s="1">
        <v>43111</v>
      </c>
      <c r="G731" t="s">
        <v>3611</v>
      </c>
      <c r="H731" t="s">
        <v>3612</v>
      </c>
      <c r="L731" t="s">
        <v>1279</v>
      </c>
      <c r="M731" t="s">
        <v>3613</v>
      </c>
    </row>
    <row r="732" spans="1:13" x14ac:dyDescent="0.25">
      <c r="A732">
        <v>5255604</v>
      </c>
      <c r="B732" t="s">
        <v>3614</v>
      </c>
      <c r="C732" t="str">
        <f>"9782759227365"</f>
        <v>9782759227365</v>
      </c>
      <c r="D732" t="str">
        <f>"9782759227389"</f>
        <v>9782759227389</v>
      </c>
      <c r="E732" t="s">
        <v>2434</v>
      </c>
      <c r="F732" s="1">
        <v>43104</v>
      </c>
      <c r="G732" t="s">
        <v>3615</v>
      </c>
      <c r="L732" t="s">
        <v>1279</v>
      </c>
      <c r="M732" t="s">
        <v>3616</v>
      </c>
    </row>
    <row r="733" spans="1:13" x14ac:dyDescent="0.25">
      <c r="A733">
        <v>5355720</v>
      </c>
      <c r="B733" t="s">
        <v>3617</v>
      </c>
      <c r="C733" t="str">
        <f>"9781783743544"</f>
        <v>9781783743544</v>
      </c>
      <c r="D733" t="str">
        <f>"9781783743551"</f>
        <v>9781783743551</v>
      </c>
      <c r="E733" t="s">
        <v>2270</v>
      </c>
      <c r="F733" s="1">
        <v>43137</v>
      </c>
      <c r="G733" t="s">
        <v>3618</v>
      </c>
      <c r="H733" t="s">
        <v>780</v>
      </c>
      <c r="L733" t="s">
        <v>20</v>
      </c>
      <c r="M733" t="s">
        <v>3619</v>
      </c>
    </row>
    <row r="734" spans="1:13" x14ac:dyDescent="0.25">
      <c r="A734">
        <v>5355721</v>
      </c>
      <c r="B734" t="s">
        <v>3620</v>
      </c>
      <c r="C734" t="str">
        <f>"9781783743148"</f>
        <v>9781783743148</v>
      </c>
      <c r="D734" t="str">
        <f>"9781783743155"</f>
        <v>9781783743155</v>
      </c>
      <c r="E734" t="s">
        <v>2270</v>
      </c>
      <c r="F734" s="1">
        <v>43139</v>
      </c>
      <c r="G734" t="s">
        <v>3621</v>
      </c>
      <c r="H734" t="s">
        <v>70</v>
      </c>
      <c r="L734" t="s">
        <v>20</v>
      </c>
      <c r="M734" t="s">
        <v>3622</v>
      </c>
    </row>
    <row r="735" spans="1:13" x14ac:dyDescent="0.25">
      <c r="A735">
        <v>5355722</v>
      </c>
      <c r="B735" t="s">
        <v>3623</v>
      </c>
      <c r="C735" t="str">
        <f>"9781783743643"</f>
        <v>9781783743643</v>
      </c>
      <c r="D735" t="str">
        <f>"9781783743650"</f>
        <v>9781783743650</v>
      </c>
      <c r="E735" t="s">
        <v>2270</v>
      </c>
      <c r="F735" s="1">
        <v>43151</v>
      </c>
      <c r="G735" t="s">
        <v>3624</v>
      </c>
      <c r="H735" t="s">
        <v>3625</v>
      </c>
      <c r="L735" t="s">
        <v>20</v>
      </c>
      <c r="M735" t="s">
        <v>3626</v>
      </c>
    </row>
    <row r="736" spans="1:13" x14ac:dyDescent="0.25">
      <c r="A736">
        <v>5355723</v>
      </c>
      <c r="B736" t="s">
        <v>3627</v>
      </c>
      <c r="C736" t="str">
        <f>"9781783742998"</f>
        <v>9781783742998</v>
      </c>
      <c r="D736" t="str">
        <f>"9781783743001"</f>
        <v>9781783743001</v>
      </c>
      <c r="E736" t="s">
        <v>2270</v>
      </c>
      <c r="F736" s="1">
        <v>43166</v>
      </c>
      <c r="G736" t="s">
        <v>3628</v>
      </c>
      <c r="H736" t="s">
        <v>3629</v>
      </c>
      <c r="L736" t="s">
        <v>20</v>
      </c>
      <c r="M736" t="s">
        <v>3630</v>
      </c>
    </row>
    <row r="737" spans="1:13" x14ac:dyDescent="0.25">
      <c r="A737">
        <v>5355724</v>
      </c>
      <c r="B737" t="s">
        <v>3631</v>
      </c>
      <c r="C737" t="str">
        <f>"9781783744558"</f>
        <v>9781783744558</v>
      </c>
      <c r="D737" t="str">
        <f>"9781783744565"</f>
        <v>9781783744565</v>
      </c>
      <c r="E737" t="s">
        <v>2270</v>
      </c>
      <c r="F737" s="1">
        <v>43181</v>
      </c>
      <c r="G737" t="s">
        <v>2271</v>
      </c>
      <c r="H737" t="s">
        <v>70</v>
      </c>
      <c r="L737" t="s">
        <v>20</v>
      </c>
      <c r="M737" t="s">
        <v>3632</v>
      </c>
    </row>
    <row r="738" spans="1:13" x14ac:dyDescent="0.25">
      <c r="A738">
        <v>5355725</v>
      </c>
      <c r="B738" t="s">
        <v>3633</v>
      </c>
      <c r="C738" t="str">
        <f>"9781783744749"</f>
        <v>9781783744749</v>
      </c>
      <c r="D738" t="str">
        <f>"9781783744756"</f>
        <v>9781783744756</v>
      </c>
      <c r="E738" t="s">
        <v>2270</v>
      </c>
      <c r="F738" s="1">
        <v>43206</v>
      </c>
      <c r="G738" t="s">
        <v>3634</v>
      </c>
      <c r="H738" t="s">
        <v>3635</v>
      </c>
      <c r="L738" t="s">
        <v>20</v>
      </c>
      <c r="M738" t="s">
        <v>3636</v>
      </c>
    </row>
    <row r="739" spans="1:13" x14ac:dyDescent="0.25">
      <c r="A739">
        <v>5355726</v>
      </c>
      <c r="B739" t="s">
        <v>3637</v>
      </c>
      <c r="C739" t="str">
        <f>"9781783743346"</f>
        <v>9781783743346</v>
      </c>
      <c r="D739" t="str">
        <f>"9781783743353"</f>
        <v>9781783743353</v>
      </c>
      <c r="E739" t="s">
        <v>2270</v>
      </c>
      <c r="F739" s="1">
        <v>43207</v>
      </c>
      <c r="G739" t="s">
        <v>3638</v>
      </c>
      <c r="H739" t="s">
        <v>64</v>
      </c>
      <c r="L739" t="s">
        <v>20</v>
      </c>
      <c r="M739" t="s">
        <v>3639</v>
      </c>
    </row>
    <row r="740" spans="1:13" x14ac:dyDescent="0.25">
      <c r="A740">
        <v>5355727</v>
      </c>
      <c r="B740" t="s">
        <v>3640</v>
      </c>
      <c r="C740" t="str">
        <f>"9781783744695"</f>
        <v>9781783744695</v>
      </c>
      <c r="D740" t="str">
        <f>"9781783744701"</f>
        <v>9781783744701</v>
      </c>
      <c r="E740" t="s">
        <v>2270</v>
      </c>
      <c r="F740" s="1">
        <v>43215</v>
      </c>
      <c r="G740" t="s">
        <v>3641</v>
      </c>
      <c r="H740" t="s">
        <v>70</v>
      </c>
      <c r="L740" t="s">
        <v>20</v>
      </c>
      <c r="M740" t="s">
        <v>3642</v>
      </c>
    </row>
    <row r="741" spans="1:13" x14ac:dyDescent="0.25">
      <c r="A741">
        <v>5380632</v>
      </c>
      <c r="B741" t="s">
        <v>3643</v>
      </c>
      <c r="C741" t="str">
        <f>"9783110545302"</f>
        <v>9783110545302</v>
      </c>
      <c r="D741" t="str">
        <f>"9783110546316"</f>
        <v>9783110546316</v>
      </c>
      <c r="E741" t="s">
        <v>270</v>
      </c>
      <c r="F741" s="1">
        <v>43801</v>
      </c>
      <c r="G741" t="s">
        <v>3644</v>
      </c>
      <c r="H741" t="s">
        <v>1551</v>
      </c>
      <c r="L741" t="s">
        <v>20</v>
      </c>
      <c r="M741" t="s">
        <v>3645</v>
      </c>
    </row>
    <row r="742" spans="1:13" x14ac:dyDescent="0.25">
      <c r="A742">
        <v>5388042</v>
      </c>
      <c r="B742" t="s">
        <v>3646</v>
      </c>
      <c r="C742" t="str">
        <f>"9781501516009"</f>
        <v>9781501516009</v>
      </c>
      <c r="D742" t="str">
        <f>"9781501516023"</f>
        <v>9781501516023</v>
      </c>
      <c r="E742" t="s">
        <v>270</v>
      </c>
      <c r="F742" s="1">
        <v>44018</v>
      </c>
      <c r="G742" t="s">
        <v>3647</v>
      </c>
      <c r="H742" t="s">
        <v>70</v>
      </c>
      <c r="J742" t="s">
        <v>3648</v>
      </c>
      <c r="L742" t="s">
        <v>20</v>
      </c>
      <c r="M742" t="s">
        <v>3649</v>
      </c>
    </row>
    <row r="743" spans="1:13" x14ac:dyDescent="0.25">
      <c r="A743">
        <v>5388062</v>
      </c>
      <c r="B743" t="s">
        <v>3650</v>
      </c>
      <c r="C743" t="str">
        <f>"9783110536652"</f>
        <v>9783110536652</v>
      </c>
      <c r="D743" t="str">
        <f>"9783110536690"</f>
        <v>9783110536690</v>
      </c>
      <c r="E743" t="s">
        <v>350</v>
      </c>
      <c r="F743" s="1">
        <v>43333</v>
      </c>
      <c r="G743" t="s">
        <v>3651</v>
      </c>
      <c r="H743" t="s">
        <v>70</v>
      </c>
      <c r="L743" t="s">
        <v>20</v>
      </c>
      <c r="M743" t="s">
        <v>3652</v>
      </c>
    </row>
    <row r="744" spans="1:13" x14ac:dyDescent="0.25">
      <c r="A744">
        <v>5388106</v>
      </c>
      <c r="B744" t="s">
        <v>3653</v>
      </c>
      <c r="C744" t="str">
        <f>"9783110539134"</f>
        <v>9783110539134</v>
      </c>
      <c r="D744" t="str">
        <f>"9783110540048"</f>
        <v>9783110540048</v>
      </c>
      <c r="E744" t="s">
        <v>350</v>
      </c>
      <c r="F744" s="1">
        <v>43073</v>
      </c>
      <c r="G744" t="s">
        <v>3654</v>
      </c>
      <c r="H744" t="s">
        <v>3655</v>
      </c>
      <c r="L744" t="s">
        <v>20</v>
      </c>
      <c r="M744" t="s">
        <v>3656</v>
      </c>
    </row>
    <row r="745" spans="1:13" x14ac:dyDescent="0.25">
      <c r="A745">
        <v>5428863</v>
      </c>
      <c r="B745" t="s">
        <v>3657</v>
      </c>
      <c r="C745" t="str">
        <f>"9783110557534"</f>
        <v>9783110557534</v>
      </c>
      <c r="D745" t="str">
        <f>"9783110557602"</f>
        <v>9783110557602</v>
      </c>
      <c r="E745" t="s">
        <v>350</v>
      </c>
      <c r="F745" s="1">
        <v>43696</v>
      </c>
      <c r="G745" t="s">
        <v>3658</v>
      </c>
      <c r="H745" t="s">
        <v>3047</v>
      </c>
      <c r="L745" t="s">
        <v>20</v>
      </c>
      <c r="M745" t="s">
        <v>3659</v>
      </c>
    </row>
    <row r="746" spans="1:13" x14ac:dyDescent="0.25">
      <c r="A746">
        <v>5435775</v>
      </c>
      <c r="B746" t="s">
        <v>3660</v>
      </c>
      <c r="C746" t="str">
        <f>"9783110536874"</f>
        <v>9783110536874</v>
      </c>
      <c r="D746" t="str">
        <f>"9783110536881"</f>
        <v>9783110536881</v>
      </c>
      <c r="E746" t="s">
        <v>350</v>
      </c>
      <c r="F746" s="1">
        <v>43318</v>
      </c>
      <c r="G746" t="s">
        <v>3661</v>
      </c>
      <c r="H746" t="s">
        <v>70</v>
      </c>
      <c r="J746">
        <v>822.30899999999997</v>
      </c>
      <c r="L746" t="s">
        <v>20</v>
      </c>
      <c r="M746" t="s">
        <v>3662</v>
      </c>
    </row>
    <row r="747" spans="1:13" x14ac:dyDescent="0.25">
      <c r="A747">
        <v>5447338</v>
      </c>
      <c r="B747" t="s">
        <v>3663</v>
      </c>
      <c r="C747" t="str">
        <f>"9783110543070"</f>
        <v>9783110543070</v>
      </c>
      <c r="D747" t="str">
        <f>"9783110543087"</f>
        <v>9783110543087</v>
      </c>
      <c r="E747" t="s">
        <v>350</v>
      </c>
      <c r="F747" s="1">
        <v>43801</v>
      </c>
      <c r="G747" t="s">
        <v>3664</v>
      </c>
      <c r="H747" t="s">
        <v>3665</v>
      </c>
      <c r="L747" t="s">
        <v>20</v>
      </c>
      <c r="M747" t="s">
        <v>3666</v>
      </c>
    </row>
    <row r="748" spans="1:13" x14ac:dyDescent="0.25">
      <c r="A748">
        <v>5447342</v>
      </c>
      <c r="B748" t="s">
        <v>3667</v>
      </c>
      <c r="C748" t="str">
        <f>"9783110551686"</f>
        <v>9783110551686</v>
      </c>
      <c r="D748" t="str">
        <f>"9783110553321"</f>
        <v>9783110553321</v>
      </c>
      <c r="E748" t="s">
        <v>350</v>
      </c>
      <c r="F748" s="1">
        <v>43367</v>
      </c>
      <c r="G748" t="s">
        <v>3668</v>
      </c>
      <c r="H748" t="s">
        <v>3669</v>
      </c>
      <c r="L748" t="s">
        <v>20</v>
      </c>
      <c r="M748" t="s">
        <v>3670</v>
      </c>
    </row>
    <row r="749" spans="1:13" x14ac:dyDescent="0.25">
      <c r="A749">
        <v>5447345</v>
      </c>
      <c r="B749" t="s">
        <v>3671</v>
      </c>
      <c r="C749" t="str">
        <f>"9783110563429"</f>
        <v>9783110563429</v>
      </c>
      <c r="D749" t="str">
        <f>"9783110563436"</f>
        <v>9783110563436</v>
      </c>
      <c r="E749" t="s">
        <v>350</v>
      </c>
      <c r="F749" s="1">
        <v>43381</v>
      </c>
      <c r="G749" t="s">
        <v>3672</v>
      </c>
      <c r="H749" t="s">
        <v>16</v>
      </c>
      <c r="I749" t="s">
        <v>3673</v>
      </c>
      <c r="L749" t="s">
        <v>291</v>
      </c>
      <c r="M749" t="s">
        <v>3674</v>
      </c>
    </row>
    <row r="750" spans="1:13" x14ac:dyDescent="0.25">
      <c r="A750">
        <v>5447348</v>
      </c>
      <c r="B750" t="s">
        <v>3675</v>
      </c>
      <c r="C750" t="str">
        <f>"9781501512636"</f>
        <v>9781501512636</v>
      </c>
      <c r="D750" t="str">
        <f>"9781501504518"</f>
        <v>9781501504518</v>
      </c>
      <c r="E750" t="s">
        <v>350</v>
      </c>
      <c r="F750" s="1">
        <v>43494</v>
      </c>
      <c r="G750" t="s">
        <v>3676</v>
      </c>
      <c r="H750" t="s">
        <v>70</v>
      </c>
      <c r="J750" t="s">
        <v>3677</v>
      </c>
      <c r="L750" t="s">
        <v>20</v>
      </c>
      <c r="M750" t="s">
        <v>3678</v>
      </c>
    </row>
    <row r="751" spans="1:13" x14ac:dyDescent="0.25">
      <c r="A751">
        <v>5493919</v>
      </c>
      <c r="B751" t="s">
        <v>3679</v>
      </c>
      <c r="C751" t="str">
        <f>"9781501511851"</f>
        <v>9781501511851</v>
      </c>
      <c r="D751" t="str">
        <f>"9781501503870"</f>
        <v>9781501503870</v>
      </c>
      <c r="E751" t="s">
        <v>270</v>
      </c>
      <c r="F751" s="1">
        <v>42926</v>
      </c>
      <c r="G751" t="s">
        <v>3680</v>
      </c>
      <c r="H751" t="s">
        <v>70</v>
      </c>
      <c r="J751">
        <v>895.11199999999997</v>
      </c>
      <c r="L751" t="s">
        <v>3681</v>
      </c>
      <c r="M751" t="s">
        <v>3682</v>
      </c>
    </row>
    <row r="752" spans="1:13" x14ac:dyDescent="0.25">
      <c r="A752">
        <v>5493920</v>
      </c>
      <c r="B752" t="s">
        <v>3683</v>
      </c>
      <c r="C752" t="str">
        <f>"9781501515705"</f>
        <v>9781501515705</v>
      </c>
      <c r="D752" t="str">
        <f>"9781501511806"</f>
        <v>9781501511806</v>
      </c>
      <c r="E752" t="s">
        <v>350</v>
      </c>
      <c r="F752" s="1">
        <v>43062</v>
      </c>
      <c r="G752" t="s">
        <v>3684</v>
      </c>
      <c r="H752" t="s">
        <v>851</v>
      </c>
      <c r="L752" t="s">
        <v>20</v>
      </c>
      <c r="M752" t="s">
        <v>3685</v>
      </c>
    </row>
    <row r="753" spans="1:13" x14ac:dyDescent="0.25">
      <c r="A753">
        <v>5493940</v>
      </c>
      <c r="B753" t="s">
        <v>3686</v>
      </c>
      <c r="C753" t="str">
        <f>"9783110416503"</f>
        <v>9783110416503</v>
      </c>
      <c r="D753" t="str">
        <f>"9783110416794"</f>
        <v>9783110416794</v>
      </c>
      <c r="E753" t="s">
        <v>350</v>
      </c>
      <c r="F753" s="1">
        <v>42835</v>
      </c>
      <c r="G753" t="s">
        <v>3687</v>
      </c>
      <c r="H753" t="s">
        <v>3688</v>
      </c>
      <c r="L753" t="s">
        <v>20</v>
      </c>
      <c r="M753" t="s">
        <v>3689</v>
      </c>
    </row>
    <row r="754" spans="1:13" x14ac:dyDescent="0.25">
      <c r="A754">
        <v>5493941</v>
      </c>
      <c r="B754" t="s">
        <v>3690</v>
      </c>
      <c r="C754" t="str">
        <f>"9783110447019"</f>
        <v>9783110447019</v>
      </c>
      <c r="D754" t="str">
        <f>"9783110448184"</f>
        <v>9783110448184</v>
      </c>
      <c r="E754" t="s">
        <v>350</v>
      </c>
      <c r="F754" s="1">
        <v>42968</v>
      </c>
      <c r="G754" t="s">
        <v>3691</v>
      </c>
      <c r="H754" t="s">
        <v>310</v>
      </c>
      <c r="J754">
        <v>200.93700000000001</v>
      </c>
      <c r="L754" t="s">
        <v>20</v>
      </c>
      <c r="M754" t="s">
        <v>3692</v>
      </c>
    </row>
    <row r="755" spans="1:13" x14ac:dyDescent="0.25">
      <c r="A755">
        <v>5493942</v>
      </c>
      <c r="B755" t="s">
        <v>3693</v>
      </c>
      <c r="C755" t="str">
        <f>"9783110456202"</f>
        <v>9783110456202</v>
      </c>
      <c r="D755" t="str">
        <f>"9783110456806"</f>
        <v>9783110456806</v>
      </c>
      <c r="E755" t="s">
        <v>350</v>
      </c>
      <c r="F755" s="1">
        <v>42989</v>
      </c>
      <c r="G755" t="s">
        <v>3694</v>
      </c>
      <c r="H755" t="s">
        <v>3695</v>
      </c>
      <c r="L755" t="s">
        <v>20</v>
      </c>
      <c r="M755" t="s">
        <v>3696</v>
      </c>
    </row>
    <row r="756" spans="1:13" x14ac:dyDescent="0.25">
      <c r="A756">
        <v>5493943</v>
      </c>
      <c r="B756" t="s">
        <v>3697</v>
      </c>
      <c r="C756" t="str">
        <f>"9783110457421"</f>
        <v>9783110457421</v>
      </c>
      <c r="D756" t="str">
        <f>"9783110458657"</f>
        <v>9783110458657</v>
      </c>
      <c r="E756" t="s">
        <v>350</v>
      </c>
      <c r="F756" s="1">
        <v>43046</v>
      </c>
      <c r="G756" t="s">
        <v>3698</v>
      </c>
      <c r="H756" t="s">
        <v>310</v>
      </c>
      <c r="L756" t="s">
        <v>20</v>
      </c>
      <c r="M756" t="s">
        <v>3699</v>
      </c>
    </row>
    <row r="757" spans="1:13" x14ac:dyDescent="0.25">
      <c r="A757">
        <v>5493944</v>
      </c>
      <c r="B757" t="s">
        <v>3700</v>
      </c>
      <c r="C757" t="str">
        <f>"9783110464238"</f>
        <v>9783110464238</v>
      </c>
      <c r="D757" t="str">
        <f>"9783110464252"</f>
        <v>9783110464252</v>
      </c>
      <c r="E757" t="s">
        <v>350</v>
      </c>
      <c r="F757" s="1">
        <v>42912</v>
      </c>
      <c r="G757" t="s">
        <v>3701</v>
      </c>
      <c r="H757" t="s">
        <v>70</v>
      </c>
      <c r="L757" t="s">
        <v>291</v>
      </c>
      <c r="M757" t="s">
        <v>3702</v>
      </c>
    </row>
    <row r="758" spans="1:13" x14ac:dyDescent="0.25">
      <c r="A758">
        <v>5493945</v>
      </c>
      <c r="B758" t="s">
        <v>3703</v>
      </c>
      <c r="C758" t="str">
        <f>"9783110464931"</f>
        <v>9783110464931</v>
      </c>
      <c r="D758" t="str">
        <f>"9783110466850"</f>
        <v>9783110466850</v>
      </c>
      <c r="E758" t="s">
        <v>350</v>
      </c>
      <c r="F758" s="1">
        <v>42835</v>
      </c>
      <c r="G758" t="s">
        <v>3704</v>
      </c>
      <c r="H758" t="s">
        <v>70</v>
      </c>
      <c r="L758" t="s">
        <v>291</v>
      </c>
      <c r="M758" t="s">
        <v>3705</v>
      </c>
    </row>
    <row r="759" spans="1:13" x14ac:dyDescent="0.25">
      <c r="A759">
        <v>5493946</v>
      </c>
      <c r="B759" t="s">
        <v>3706</v>
      </c>
      <c r="C759" t="str">
        <f>"9783110473841"</f>
        <v>9783110473841</v>
      </c>
      <c r="D759" t="str">
        <f>"9783110473858"</f>
        <v>9783110473858</v>
      </c>
      <c r="E759" t="s">
        <v>350</v>
      </c>
      <c r="F759" s="1">
        <v>42604</v>
      </c>
      <c r="G759" t="s">
        <v>3457</v>
      </c>
      <c r="H759" t="s">
        <v>64</v>
      </c>
      <c r="I759" t="s">
        <v>3707</v>
      </c>
      <c r="J759">
        <v>302.30284999999998</v>
      </c>
      <c r="L759" t="s">
        <v>20</v>
      </c>
      <c r="M759" t="s">
        <v>3708</v>
      </c>
    </row>
    <row r="760" spans="1:13" x14ac:dyDescent="0.25">
      <c r="A760">
        <v>5493947</v>
      </c>
      <c r="B760" t="s">
        <v>3709</v>
      </c>
      <c r="C760" t="str">
        <f>"9783110477474"</f>
        <v>9783110477474</v>
      </c>
      <c r="D760" t="str">
        <f>"9783110477498"</f>
        <v>9783110477498</v>
      </c>
      <c r="E760" t="s">
        <v>270</v>
      </c>
      <c r="F760" s="1">
        <v>42814</v>
      </c>
      <c r="G760" t="s">
        <v>3710</v>
      </c>
      <c r="H760" t="s">
        <v>851</v>
      </c>
      <c r="L760" t="s">
        <v>1279</v>
      </c>
      <c r="M760" t="s">
        <v>3711</v>
      </c>
    </row>
    <row r="761" spans="1:13" x14ac:dyDescent="0.25">
      <c r="A761">
        <v>5493948</v>
      </c>
      <c r="B761" t="s">
        <v>3712</v>
      </c>
      <c r="C761" t="str">
        <f>"9783110475364"</f>
        <v>9783110475364</v>
      </c>
      <c r="D761" t="str">
        <f>"9783110475371"</f>
        <v>9783110475371</v>
      </c>
      <c r="E761" t="s">
        <v>350</v>
      </c>
      <c r="F761" s="1">
        <v>42877</v>
      </c>
      <c r="G761" t="s">
        <v>3713</v>
      </c>
      <c r="H761" t="s">
        <v>635</v>
      </c>
      <c r="L761" t="s">
        <v>291</v>
      </c>
      <c r="M761" t="s">
        <v>3714</v>
      </c>
    </row>
    <row r="762" spans="1:13" x14ac:dyDescent="0.25">
      <c r="A762">
        <v>5493950</v>
      </c>
      <c r="B762" t="s">
        <v>3715</v>
      </c>
      <c r="C762" t="str">
        <f>"9783110480832"</f>
        <v>9783110480832</v>
      </c>
      <c r="D762" t="str">
        <f>"9783110480849"</f>
        <v>9783110480849</v>
      </c>
      <c r="E762" t="s">
        <v>350</v>
      </c>
      <c r="F762" s="1">
        <v>42485</v>
      </c>
      <c r="G762" t="s">
        <v>3716</v>
      </c>
      <c r="H762" t="s">
        <v>3717</v>
      </c>
      <c r="I762" t="s">
        <v>3718</v>
      </c>
      <c r="J762" t="s">
        <v>3719</v>
      </c>
      <c r="L762" t="s">
        <v>20</v>
      </c>
      <c r="M762" t="s">
        <v>3720</v>
      </c>
    </row>
    <row r="763" spans="1:13" x14ac:dyDescent="0.25">
      <c r="A763">
        <v>5493951</v>
      </c>
      <c r="B763" t="s">
        <v>3721</v>
      </c>
      <c r="C763" t="str">
        <f>"9783110488395"</f>
        <v>9783110488395</v>
      </c>
      <c r="D763" t="str">
        <f>"9783110488401"</f>
        <v>9783110488401</v>
      </c>
      <c r="E763" t="s">
        <v>350</v>
      </c>
      <c r="F763" s="1">
        <v>42653</v>
      </c>
      <c r="G763" t="s">
        <v>3722</v>
      </c>
      <c r="H763" t="s">
        <v>851</v>
      </c>
      <c r="I763" t="s">
        <v>3723</v>
      </c>
      <c r="J763">
        <v>417.7</v>
      </c>
      <c r="L763" t="s">
        <v>20</v>
      </c>
      <c r="M763" t="s">
        <v>3724</v>
      </c>
    </row>
    <row r="764" spans="1:13" x14ac:dyDescent="0.25">
      <c r="A764">
        <v>5493952</v>
      </c>
      <c r="B764" t="s">
        <v>3725</v>
      </c>
      <c r="C764" t="str">
        <f>"9783110496598"</f>
        <v>9783110496598</v>
      </c>
      <c r="D764" t="str">
        <f>"9783110496604"</f>
        <v>9783110496604</v>
      </c>
      <c r="E764" t="s">
        <v>350</v>
      </c>
      <c r="F764" s="1">
        <v>42898</v>
      </c>
      <c r="G764" t="s">
        <v>3726</v>
      </c>
      <c r="H764" t="s">
        <v>851</v>
      </c>
      <c r="J764">
        <v>418</v>
      </c>
      <c r="L764" t="s">
        <v>20</v>
      </c>
      <c r="M764" t="s">
        <v>3727</v>
      </c>
    </row>
    <row r="765" spans="1:13" x14ac:dyDescent="0.25">
      <c r="A765">
        <v>5493953</v>
      </c>
      <c r="B765" t="s">
        <v>3728</v>
      </c>
      <c r="C765" t="str">
        <f>"9783110480788"</f>
        <v>9783110480788</v>
      </c>
      <c r="D765" t="str">
        <f>"9783110480795"</f>
        <v>9783110480795</v>
      </c>
      <c r="E765" t="s">
        <v>350</v>
      </c>
      <c r="F765" s="1">
        <v>42625</v>
      </c>
      <c r="G765" t="s">
        <v>3729</v>
      </c>
      <c r="H765" t="s">
        <v>3730</v>
      </c>
      <c r="I765" t="s">
        <v>3731</v>
      </c>
      <c r="J765">
        <v>363.73874526091299</v>
      </c>
      <c r="L765" t="s">
        <v>20</v>
      </c>
      <c r="M765" t="s">
        <v>3732</v>
      </c>
    </row>
    <row r="766" spans="1:13" x14ac:dyDescent="0.25">
      <c r="A766">
        <v>5493954</v>
      </c>
      <c r="B766" t="s">
        <v>3733</v>
      </c>
      <c r="C766" t="str">
        <f>"9783110497007"</f>
        <v>9783110497007</v>
      </c>
      <c r="D766" t="str">
        <f>"9783110497656"</f>
        <v>9783110497656</v>
      </c>
      <c r="E766" t="s">
        <v>350</v>
      </c>
      <c r="F766" s="1">
        <v>42835</v>
      </c>
      <c r="G766" t="s">
        <v>3734</v>
      </c>
      <c r="H766" t="s">
        <v>16</v>
      </c>
      <c r="J766">
        <v>121</v>
      </c>
      <c r="L766" t="s">
        <v>20</v>
      </c>
      <c r="M766" t="s">
        <v>3735</v>
      </c>
    </row>
    <row r="767" spans="1:13" x14ac:dyDescent="0.25">
      <c r="A767">
        <v>5493955</v>
      </c>
      <c r="B767" t="s">
        <v>3736</v>
      </c>
      <c r="C767" t="str">
        <f>"9783110500813"</f>
        <v>9783110500813</v>
      </c>
      <c r="D767" t="str">
        <f>"9783110500820"</f>
        <v>9783110500820</v>
      </c>
      <c r="E767" t="s">
        <v>350</v>
      </c>
      <c r="F767" s="1">
        <v>42746</v>
      </c>
      <c r="G767" t="s">
        <v>3737</v>
      </c>
      <c r="H767" t="s">
        <v>139</v>
      </c>
      <c r="I767" t="s">
        <v>3738</v>
      </c>
      <c r="J767">
        <v>939.6</v>
      </c>
      <c r="L767" t="s">
        <v>20</v>
      </c>
      <c r="M767" t="s">
        <v>3739</v>
      </c>
    </row>
    <row r="768" spans="1:13" x14ac:dyDescent="0.25">
      <c r="A768">
        <v>5493956</v>
      </c>
      <c r="B768" t="s">
        <v>3740</v>
      </c>
      <c r="C768" t="str">
        <f>"9783110500547"</f>
        <v>9783110500547</v>
      </c>
      <c r="D768" t="str">
        <f>"9783110500882"</f>
        <v>9783110500882</v>
      </c>
      <c r="E768" t="s">
        <v>270</v>
      </c>
      <c r="F768" s="1">
        <v>42835</v>
      </c>
      <c r="G768" t="s">
        <v>3741</v>
      </c>
      <c r="H768" t="s">
        <v>310</v>
      </c>
      <c r="L768" t="s">
        <v>20</v>
      </c>
      <c r="M768" t="s">
        <v>3742</v>
      </c>
    </row>
    <row r="769" spans="1:13" x14ac:dyDescent="0.25">
      <c r="A769">
        <v>5493957</v>
      </c>
      <c r="B769" t="s">
        <v>3743</v>
      </c>
      <c r="C769" t="str">
        <f>"9783110524208"</f>
        <v>9783110524208</v>
      </c>
      <c r="D769" t="str">
        <f>"9783110516371"</f>
        <v>9783110516371</v>
      </c>
      <c r="E769" t="s">
        <v>270</v>
      </c>
      <c r="F769" s="1">
        <v>42968</v>
      </c>
      <c r="G769" t="s">
        <v>3744</v>
      </c>
      <c r="H769" t="s">
        <v>310</v>
      </c>
      <c r="J769" t="s">
        <v>3745</v>
      </c>
      <c r="L769" t="s">
        <v>20</v>
      </c>
      <c r="M769" t="s">
        <v>3746</v>
      </c>
    </row>
    <row r="770" spans="1:13" x14ac:dyDescent="0.25">
      <c r="A770">
        <v>5493958</v>
      </c>
      <c r="B770" t="s">
        <v>3747</v>
      </c>
      <c r="C770" t="str">
        <f>"9783110517316"</f>
        <v>9783110517316</v>
      </c>
      <c r="D770" t="str">
        <f>"9783110517323"</f>
        <v>9783110517323</v>
      </c>
      <c r="E770" t="s">
        <v>350</v>
      </c>
      <c r="F770" s="1">
        <v>42849</v>
      </c>
      <c r="G770" t="s">
        <v>3748</v>
      </c>
      <c r="H770" t="s">
        <v>310</v>
      </c>
      <c r="L770" t="s">
        <v>20</v>
      </c>
      <c r="M770" t="s">
        <v>3749</v>
      </c>
    </row>
    <row r="771" spans="1:13" x14ac:dyDescent="0.25">
      <c r="A771">
        <v>5493959</v>
      </c>
      <c r="B771" t="s">
        <v>3750</v>
      </c>
      <c r="C771" t="str">
        <f>"9783110517361"</f>
        <v>9783110517361</v>
      </c>
      <c r="D771" t="str">
        <f>"9783110517378"</f>
        <v>9783110517378</v>
      </c>
      <c r="E771" t="s">
        <v>350</v>
      </c>
      <c r="F771" s="1">
        <v>42653</v>
      </c>
      <c r="G771" t="s">
        <v>3751</v>
      </c>
      <c r="H771" t="s">
        <v>3454</v>
      </c>
      <c r="L771" t="s">
        <v>20</v>
      </c>
      <c r="M771" t="s">
        <v>3752</v>
      </c>
    </row>
    <row r="772" spans="1:13" x14ac:dyDescent="0.25">
      <c r="A772">
        <v>5493960</v>
      </c>
      <c r="B772" t="s">
        <v>3753</v>
      </c>
      <c r="C772" t="str">
        <f>"9783110522112"</f>
        <v>9783110522112</v>
      </c>
      <c r="D772" t="str">
        <f>"9783110522143"</f>
        <v>9783110522143</v>
      </c>
      <c r="E772" t="s">
        <v>350</v>
      </c>
      <c r="F772" s="1">
        <v>42849</v>
      </c>
      <c r="G772" t="s">
        <v>3754</v>
      </c>
      <c r="H772" t="s">
        <v>266</v>
      </c>
      <c r="J772" t="s">
        <v>3755</v>
      </c>
      <c r="L772" t="s">
        <v>20</v>
      </c>
      <c r="M772" t="s">
        <v>3756</v>
      </c>
    </row>
    <row r="773" spans="1:13" x14ac:dyDescent="0.25">
      <c r="A773">
        <v>5493961</v>
      </c>
      <c r="B773" t="s">
        <v>3757</v>
      </c>
      <c r="C773" t="str">
        <f>"9783110527964"</f>
        <v>9783110527964</v>
      </c>
      <c r="D773" t="str">
        <f>"9783110527971"</f>
        <v>9783110527971</v>
      </c>
      <c r="E773" t="s">
        <v>350</v>
      </c>
      <c r="F773" s="1">
        <v>43031</v>
      </c>
      <c r="G773" t="s">
        <v>3758</v>
      </c>
      <c r="H773" t="s">
        <v>3669</v>
      </c>
      <c r="L773" t="s">
        <v>20</v>
      </c>
      <c r="M773" t="s">
        <v>3759</v>
      </c>
    </row>
    <row r="774" spans="1:13" x14ac:dyDescent="0.25">
      <c r="A774">
        <v>5493962</v>
      </c>
      <c r="B774" t="s">
        <v>3760</v>
      </c>
      <c r="C774" t="str">
        <f>"9783110523102"</f>
        <v>9783110523102</v>
      </c>
      <c r="D774" t="str">
        <f>"9783110528114"</f>
        <v>9783110528114</v>
      </c>
      <c r="E774" t="s">
        <v>350</v>
      </c>
      <c r="F774" s="1">
        <v>42849</v>
      </c>
      <c r="G774" t="s">
        <v>3761</v>
      </c>
      <c r="H774" t="s">
        <v>70</v>
      </c>
      <c r="L774" t="s">
        <v>291</v>
      </c>
      <c r="M774" t="s">
        <v>3762</v>
      </c>
    </row>
    <row r="775" spans="1:13" x14ac:dyDescent="0.25">
      <c r="A775">
        <v>5493963</v>
      </c>
      <c r="B775" t="s">
        <v>3763</v>
      </c>
      <c r="C775" t="str">
        <f>"9783110530490"</f>
        <v>9783110530490</v>
      </c>
      <c r="D775" t="str">
        <f>"9783110531732"</f>
        <v>9783110531732</v>
      </c>
      <c r="E775" t="s">
        <v>270</v>
      </c>
      <c r="F775" s="1">
        <v>42849</v>
      </c>
      <c r="G775" t="s">
        <v>3764</v>
      </c>
      <c r="H775" t="s">
        <v>64</v>
      </c>
      <c r="L775" t="s">
        <v>291</v>
      </c>
      <c r="M775" t="s">
        <v>3765</v>
      </c>
    </row>
    <row r="776" spans="1:13" x14ac:dyDescent="0.25">
      <c r="A776">
        <v>5493964</v>
      </c>
      <c r="B776" t="s">
        <v>3766</v>
      </c>
      <c r="C776" t="str">
        <f>"9783110529159"</f>
        <v>9783110529159</v>
      </c>
      <c r="D776" t="str">
        <f>"9783110534597"</f>
        <v>9783110534597</v>
      </c>
      <c r="E776" t="s">
        <v>270</v>
      </c>
      <c r="F776" s="1">
        <v>42968</v>
      </c>
      <c r="G776" t="s">
        <v>3767</v>
      </c>
      <c r="H776" t="s">
        <v>139</v>
      </c>
      <c r="L776" t="s">
        <v>20</v>
      </c>
      <c r="M776" t="s">
        <v>3768</v>
      </c>
    </row>
    <row r="777" spans="1:13" x14ac:dyDescent="0.25">
      <c r="A777">
        <v>5493965</v>
      </c>
      <c r="B777" t="s">
        <v>3769</v>
      </c>
      <c r="C777" t="str">
        <f>"9783110539325"</f>
        <v>9783110539325</v>
      </c>
      <c r="D777" t="str">
        <f>"9783110539356"</f>
        <v>9783110539356</v>
      </c>
      <c r="E777" t="s">
        <v>350</v>
      </c>
      <c r="F777" s="1">
        <v>42814</v>
      </c>
      <c r="G777" t="s">
        <v>3770</v>
      </c>
      <c r="H777" t="s">
        <v>3771</v>
      </c>
      <c r="L777" t="s">
        <v>20</v>
      </c>
      <c r="M777" t="s">
        <v>3772</v>
      </c>
    </row>
    <row r="778" spans="1:13" x14ac:dyDescent="0.25">
      <c r="A778">
        <v>5493967</v>
      </c>
      <c r="B778" t="s">
        <v>3773</v>
      </c>
      <c r="C778" t="str">
        <f>"9783110540130"</f>
        <v>9783110540130</v>
      </c>
      <c r="D778" t="str">
        <f>"9783110540147"</f>
        <v>9783110540147</v>
      </c>
      <c r="E778" t="s">
        <v>350</v>
      </c>
      <c r="F778" s="1">
        <v>42849</v>
      </c>
      <c r="G778" t="s">
        <v>3774</v>
      </c>
      <c r="H778" t="s">
        <v>3775</v>
      </c>
      <c r="L778" t="s">
        <v>20</v>
      </c>
      <c r="M778" t="s">
        <v>3776</v>
      </c>
    </row>
    <row r="779" spans="1:13" x14ac:dyDescent="0.25">
      <c r="A779">
        <v>5493968</v>
      </c>
      <c r="B779" t="s">
        <v>3777</v>
      </c>
      <c r="C779" t="str">
        <f>"9783110541366"</f>
        <v>9783110541366</v>
      </c>
      <c r="D779" t="str">
        <f>"9783110541397"</f>
        <v>9783110541397</v>
      </c>
      <c r="E779" t="s">
        <v>350</v>
      </c>
      <c r="F779" s="1">
        <v>43150</v>
      </c>
      <c r="G779" t="s">
        <v>3778</v>
      </c>
      <c r="H779" t="s">
        <v>272</v>
      </c>
      <c r="J779">
        <v>27</v>
      </c>
      <c r="L779" t="s">
        <v>20</v>
      </c>
      <c r="M779" t="s">
        <v>3779</v>
      </c>
    </row>
    <row r="780" spans="1:13" x14ac:dyDescent="0.25">
      <c r="A780">
        <v>5493969</v>
      </c>
      <c r="B780" t="s">
        <v>3780</v>
      </c>
      <c r="C780" t="str">
        <f>"9783110541403"</f>
        <v>9783110541403</v>
      </c>
      <c r="D780" t="str">
        <f>"9783110541441"</f>
        <v>9783110541441</v>
      </c>
      <c r="E780" t="s">
        <v>350</v>
      </c>
      <c r="F780" s="1">
        <v>42989</v>
      </c>
      <c r="G780" t="s">
        <v>3781</v>
      </c>
      <c r="H780" t="s">
        <v>246</v>
      </c>
      <c r="J780">
        <v>746.57091766999997</v>
      </c>
      <c r="L780" t="s">
        <v>20</v>
      </c>
      <c r="M780" t="s">
        <v>3782</v>
      </c>
    </row>
    <row r="781" spans="1:13" x14ac:dyDescent="0.25">
      <c r="A781">
        <v>5493970</v>
      </c>
      <c r="B781" t="s">
        <v>3783</v>
      </c>
      <c r="C781" t="str">
        <f>"9783110546323"</f>
        <v>9783110546323</v>
      </c>
      <c r="D781" t="str">
        <f>"9783110546330"</f>
        <v>9783110546330</v>
      </c>
      <c r="E781" t="s">
        <v>350</v>
      </c>
      <c r="F781" s="1">
        <v>42849</v>
      </c>
      <c r="G781" t="s">
        <v>3784</v>
      </c>
      <c r="H781" t="s">
        <v>3785</v>
      </c>
      <c r="L781" t="s">
        <v>20</v>
      </c>
      <c r="M781" t="s">
        <v>3786</v>
      </c>
    </row>
    <row r="782" spans="1:13" x14ac:dyDescent="0.25">
      <c r="A782">
        <v>5493983</v>
      </c>
      <c r="B782" t="s">
        <v>3787</v>
      </c>
      <c r="C782" t="str">
        <f>"9783110546392"</f>
        <v>9783110546392</v>
      </c>
      <c r="D782" t="str">
        <f>"9783110546422"</f>
        <v>9783110546422</v>
      </c>
      <c r="E782" t="s">
        <v>350</v>
      </c>
      <c r="F782" s="1">
        <v>43087</v>
      </c>
      <c r="G782" t="s">
        <v>3788</v>
      </c>
      <c r="H782" t="s">
        <v>3789</v>
      </c>
      <c r="L782" t="s">
        <v>20</v>
      </c>
      <c r="M782" t="s">
        <v>3790</v>
      </c>
    </row>
    <row r="783" spans="1:13" x14ac:dyDescent="0.25">
      <c r="A783">
        <v>5493984</v>
      </c>
      <c r="B783" t="s">
        <v>3791</v>
      </c>
      <c r="C783" t="str">
        <f>"9783110562354"</f>
        <v>9783110562354</v>
      </c>
      <c r="D783" t="str">
        <f>"9783110562507"</f>
        <v>9783110562507</v>
      </c>
      <c r="E783" t="s">
        <v>350</v>
      </c>
      <c r="F783" s="1">
        <v>43031</v>
      </c>
      <c r="G783" t="s">
        <v>3792</v>
      </c>
      <c r="H783" t="s">
        <v>1178</v>
      </c>
      <c r="L783" t="s">
        <v>20</v>
      </c>
      <c r="M783" t="s">
        <v>3793</v>
      </c>
    </row>
    <row r="784" spans="1:13" x14ac:dyDescent="0.25">
      <c r="A784">
        <v>5493985</v>
      </c>
      <c r="B784" t="s">
        <v>3794</v>
      </c>
      <c r="C784" t="str">
        <f>"9783110538519"</f>
        <v>9783110538519</v>
      </c>
      <c r="D784" t="str">
        <f>"9783110547474"</f>
        <v>9783110547474</v>
      </c>
      <c r="E784" t="s">
        <v>350</v>
      </c>
      <c r="F784" s="1">
        <v>42989</v>
      </c>
      <c r="G784" t="s">
        <v>3795</v>
      </c>
      <c r="H784" t="s">
        <v>70</v>
      </c>
      <c r="J784">
        <v>870.9</v>
      </c>
      <c r="L784" t="s">
        <v>20</v>
      </c>
      <c r="M784" t="s">
        <v>3796</v>
      </c>
    </row>
    <row r="785" spans="1:13" x14ac:dyDescent="0.25">
      <c r="A785">
        <v>5493986</v>
      </c>
      <c r="B785" t="s">
        <v>3797</v>
      </c>
      <c r="C785" t="str">
        <f>"9783794044306"</f>
        <v>9783794044306</v>
      </c>
      <c r="D785" t="str">
        <f>"9783111356655"</f>
        <v>9783111356655</v>
      </c>
      <c r="E785" t="s">
        <v>350</v>
      </c>
      <c r="F785" s="1">
        <v>28126</v>
      </c>
      <c r="G785" t="s">
        <v>3798</v>
      </c>
      <c r="H785" t="s">
        <v>272</v>
      </c>
      <c r="L785" t="s">
        <v>20</v>
      </c>
      <c r="M785" t="s">
        <v>3799</v>
      </c>
    </row>
    <row r="786" spans="1:13" x14ac:dyDescent="0.25">
      <c r="A786">
        <v>5494130</v>
      </c>
      <c r="B786" t="s">
        <v>3800</v>
      </c>
      <c r="C786" t="str">
        <f>"9783486568349"</f>
        <v>9783486568349</v>
      </c>
      <c r="D786" t="str">
        <f>"9783486835441"</f>
        <v>9783486835441</v>
      </c>
      <c r="E786" t="s">
        <v>350</v>
      </c>
      <c r="F786" s="1">
        <v>38315</v>
      </c>
      <c r="G786" t="s">
        <v>3801</v>
      </c>
      <c r="H786" t="s">
        <v>139</v>
      </c>
      <c r="L786" t="s">
        <v>291</v>
      </c>
      <c r="M786" t="s">
        <v>3802</v>
      </c>
    </row>
    <row r="787" spans="1:13" x14ac:dyDescent="0.25">
      <c r="A787">
        <v>5494132</v>
      </c>
      <c r="B787" t="s">
        <v>3803</v>
      </c>
      <c r="C787" t="str">
        <f>"9783486992519"</f>
        <v>9783486992519</v>
      </c>
      <c r="D787" t="str">
        <f>"9783486992526"</f>
        <v>9783486992526</v>
      </c>
      <c r="E787" t="s">
        <v>350</v>
      </c>
      <c r="F787" s="1">
        <v>42321</v>
      </c>
      <c r="G787" t="s">
        <v>3804</v>
      </c>
      <c r="H787" t="s">
        <v>3805</v>
      </c>
      <c r="L787" t="s">
        <v>20</v>
      </c>
      <c r="M787" t="s">
        <v>3806</v>
      </c>
    </row>
    <row r="788" spans="1:13" x14ac:dyDescent="0.25">
      <c r="A788">
        <v>5494133</v>
      </c>
      <c r="B788" t="s">
        <v>3807</v>
      </c>
      <c r="C788" t="str">
        <f>"9783486992557"</f>
        <v>9783486992557</v>
      </c>
      <c r="D788" t="str">
        <f>"9783486992564"</f>
        <v>9783486992564</v>
      </c>
      <c r="E788" t="s">
        <v>350</v>
      </c>
      <c r="F788" s="1">
        <v>42306</v>
      </c>
      <c r="G788" t="s">
        <v>3804</v>
      </c>
      <c r="H788" t="s">
        <v>3805</v>
      </c>
      <c r="L788" t="s">
        <v>20</v>
      </c>
      <c r="M788" t="s">
        <v>3808</v>
      </c>
    </row>
    <row r="789" spans="1:13" x14ac:dyDescent="0.25">
      <c r="A789">
        <v>5494134</v>
      </c>
      <c r="B789" t="s">
        <v>3809</v>
      </c>
      <c r="C789" t="str">
        <f>"9783486992533"</f>
        <v>9783486992533</v>
      </c>
      <c r="D789" t="str">
        <f>"9783486992540"</f>
        <v>9783486992540</v>
      </c>
      <c r="E789" t="s">
        <v>350</v>
      </c>
      <c r="F789" s="1">
        <v>42306</v>
      </c>
      <c r="G789" t="s">
        <v>3804</v>
      </c>
      <c r="H789" t="s">
        <v>3810</v>
      </c>
      <c r="L789" t="s">
        <v>20</v>
      </c>
      <c r="M789" t="s">
        <v>3811</v>
      </c>
    </row>
    <row r="790" spans="1:13" x14ac:dyDescent="0.25">
      <c r="A790">
        <v>5494137</v>
      </c>
      <c r="B790" t="s">
        <v>3812</v>
      </c>
      <c r="C790" t="str">
        <f>"9783486992571"</f>
        <v>9783486992571</v>
      </c>
      <c r="D790" t="str">
        <f>"9783486992588"</f>
        <v>9783486992588</v>
      </c>
      <c r="E790" t="s">
        <v>350</v>
      </c>
      <c r="F790" s="1">
        <v>42306</v>
      </c>
      <c r="G790" t="s">
        <v>3804</v>
      </c>
      <c r="H790" t="s">
        <v>3813</v>
      </c>
      <c r="L790" t="s">
        <v>20</v>
      </c>
      <c r="M790" t="s">
        <v>3814</v>
      </c>
    </row>
    <row r="791" spans="1:13" x14ac:dyDescent="0.25">
      <c r="A791">
        <v>5494918</v>
      </c>
      <c r="B791" t="s">
        <v>3815</v>
      </c>
      <c r="C791" t="str">
        <f>"9783110562385"</f>
        <v>9783110562385</v>
      </c>
      <c r="D791" t="str">
        <f>"9783110562392"</f>
        <v>9783110562392</v>
      </c>
      <c r="E791" t="s">
        <v>350</v>
      </c>
      <c r="F791" s="1">
        <v>42912</v>
      </c>
      <c r="G791" t="s">
        <v>3816</v>
      </c>
      <c r="H791" t="s">
        <v>30</v>
      </c>
      <c r="J791" t="s">
        <v>3817</v>
      </c>
      <c r="L791" t="s">
        <v>20</v>
      </c>
      <c r="M791" t="s">
        <v>3818</v>
      </c>
    </row>
    <row r="792" spans="1:13" x14ac:dyDescent="0.25">
      <c r="A792">
        <v>5494919</v>
      </c>
      <c r="B792" t="s">
        <v>3819</v>
      </c>
      <c r="C792" t="str">
        <f>"9783110439991"</f>
        <v>9783110439991</v>
      </c>
      <c r="D792" t="str">
        <f>"9783110440003"</f>
        <v>9783110440003</v>
      </c>
      <c r="E792" t="s">
        <v>350</v>
      </c>
      <c r="F792" s="1">
        <v>42261</v>
      </c>
      <c r="G792" t="s">
        <v>3820</v>
      </c>
      <c r="H792" t="s">
        <v>743</v>
      </c>
      <c r="I792" t="s">
        <v>3821</v>
      </c>
      <c r="J792">
        <v>305.67094996999998</v>
      </c>
      <c r="L792" t="s">
        <v>20</v>
      </c>
      <c r="M792" t="s">
        <v>3822</v>
      </c>
    </row>
    <row r="793" spans="1:13" x14ac:dyDescent="0.25">
      <c r="A793">
        <v>5494922</v>
      </c>
      <c r="B793" t="s">
        <v>3823</v>
      </c>
      <c r="C793" t="str">
        <f>"9783110537451"</f>
        <v>9783110537451</v>
      </c>
      <c r="D793" t="str">
        <f>"9783110537482"</f>
        <v>9783110537482</v>
      </c>
      <c r="E793" t="s">
        <v>350</v>
      </c>
      <c r="F793" s="1">
        <v>43774</v>
      </c>
      <c r="G793" t="s">
        <v>3824</v>
      </c>
      <c r="H793" t="s">
        <v>363</v>
      </c>
      <c r="J793" t="s">
        <v>3825</v>
      </c>
      <c r="L793" t="s">
        <v>20</v>
      </c>
      <c r="M793" t="s">
        <v>3826</v>
      </c>
    </row>
    <row r="794" spans="1:13" x14ac:dyDescent="0.25">
      <c r="A794">
        <v>5494923</v>
      </c>
      <c r="B794" t="s">
        <v>3827</v>
      </c>
      <c r="C794" t="str">
        <f>"9783110574401"</f>
        <v>9783110574401</v>
      </c>
      <c r="D794" t="str">
        <f>"9783110574432"</f>
        <v>9783110574432</v>
      </c>
      <c r="E794" t="s">
        <v>350</v>
      </c>
      <c r="F794" s="1">
        <v>42989</v>
      </c>
      <c r="G794" t="s">
        <v>3828</v>
      </c>
      <c r="H794" t="s">
        <v>3829</v>
      </c>
      <c r="L794" t="s">
        <v>20</v>
      </c>
      <c r="M794" t="s">
        <v>3830</v>
      </c>
    </row>
    <row r="795" spans="1:13" x14ac:dyDescent="0.25">
      <c r="A795">
        <v>5494924</v>
      </c>
      <c r="B795" t="s">
        <v>3831</v>
      </c>
      <c r="C795" t="str">
        <f>"9788376560618"</f>
        <v>9788376560618</v>
      </c>
      <c r="D795" t="str">
        <f>"9788376560625"</f>
        <v>9788376560625</v>
      </c>
      <c r="E795" t="s">
        <v>350</v>
      </c>
      <c r="F795" s="1">
        <v>41569</v>
      </c>
      <c r="G795" t="s">
        <v>1126</v>
      </c>
      <c r="H795" t="s">
        <v>239</v>
      </c>
      <c r="L795" t="s">
        <v>20</v>
      </c>
      <c r="M795" t="s">
        <v>3832</v>
      </c>
    </row>
    <row r="796" spans="1:13" x14ac:dyDescent="0.25">
      <c r="A796">
        <v>5494925</v>
      </c>
      <c r="B796" t="s">
        <v>3833</v>
      </c>
      <c r="C796" t="str">
        <f>"9783110449495"</f>
        <v>9783110449495</v>
      </c>
      <c r="D796" t="str">
        <f>"9783110449501"</f>
        <v>9783110449501</v>
      </c>
      <c r="E796" t="s">
        <v>350</v>
      </c>
      <c r="F796" s="1">
        <v>42261</v>
      </c>
      <c r="G796" t="s">
        <v>3834</v>
      </c>
      <c r="H796" t="s">
        <v>817</v>
      </c>
      <c r="I796" t="s">
        <v>3835</v>
      </c>
      <c r="J796" t="s">
        <v>3836</v>
      </c>
      <c r="L796" t="s">
        <v>20</v>
      </c>
      <c r="M796" t="s">
        <v>3837</v>
      </c>
    </row>
    <row r="797" spans="1:13" x14ac:dyDescent="0.25">
      <c r="A797">
        <v>5494927</v>
      </c>
      <c r="B797" t="s">
        <v>3838</v>
      </c>
      <c r="C797" t="str">
        <f>"9783110448139"</f>
        <v>9783110448139</v>
      </c>
      <c r="D797" t="str">
        <f>"9783110526288"</f>
        <v>9783110526288</v>
      </c>
      <c r="E797" t="s">
        <v>350</v>
      </c>
      <c r="F797" s="1">
        <v>42835</v>
      </c>
      <c r="G797" t="s">
        <v>3839</v>
      </c>
      <c r="H797" t="s">
        <v>16</v>
      </c>
      <c r="J797">
        <v>179.9</v>
      </c>
      <c r="L797" t="s">
        <v>20</v>
      </c>
      <c r="M797" t="s">
        <v>3840</v>
      </c>
    </row>
    <row r="798" spans="1:13" x14ac:dyDescent="0.25">
      <c r="A798">
        <v>5494931</v>
      </c>
      <c r="B798" t="s">
        <v>3841</v>
      </c>
      <c r="C798" t="str">
        <f>"9783110534337"</f>
        <v>9783110534337</v>
      </c>
      <c r="D798" t="str">
        <f>"9783110535655"</f>
        <v>9783110535655</v>
      </c>
      <c r="E798" t="s">
        <v>350</v>
      </c>
      <c r="F798" s="1">
        <v>43031</v>
      </c>
      <c r="G798" t="s">
        <v>3842</v>
      </c>
      <c r="H798" t="s">
        <v>266</v>
      </c>
      <c r="J798">
        <v>616.70000000000005</v>
      </c>
      <c r="L798" t="s">
        <v>291</v>
      </c>
      <c r="M798" t="s">
        <v>3843</v>
      </c>
    </row>
    <row r="799" spans="1:13" x14ac:dyDescent="0.25">
      <c r="A799">
        <v>5494938</v>
      </c>
      <c r="B799" t="s">
        <v>3844</v>
      </c>
      <c r="C799" t="str">
        <f>"9783110581911"</f>
        <v>9783110581911</v>
      </c>
      <c r="D799" t="str">
        <f>"9783110581928"</f>
        <v>9783110581928</v>
      </c>
      <c r="E799" t="s">
        <v>350</v>
      </c>
      <c r="F799" s="1">
        <v>43109</v>
      </c>
      <c r="G799" t="s">
        <v>3845</v>
      </c>
      <c r="H799" t="s">
        <v>30</v>
      </c>
      <c r="L799" t="s">
        <v>20</v>
      </c>
      <c r="M799" t="s">
        <v>3846</v>
      </c>
    </row>
    <row r="800" spans="1:13" x14ac:dyDescent="0.25">
      <c r="A800">
        <v>5494939</v>
      </c>
      <c r="B800" t="s">
        <v>3847</v>
      </c>
      <c r="C800" t="str">
        <f>"9783110471120"</f>
        <v>9783110471120</v>
      </c>
      <c r="D800" t="str">
        <f>"9783110471137"</f>
        <v>9783110471137</v>
      </c>
      <c r="E800" t="s">
        <v>350</v>
      </c>
      <c r="F800" s="1">
        <v>42541</v>
      </c>
      <c r="G800" t="s">
        <v>3848</v>
      </c>
      <c r="H800" t="s">
        <v>712</v>
      </c>
      <c r="I800" t="s">
        <v>2841</v>
      </c>
      <c r="J800">
        <v>4.0190000000000001</v>
      </c>
      <c r="L800" t="s">
        <v>20</v>
      </c>
      <c r="M800" t="s">
        <v>3849</v>
      </c>
    </row>
    <row r="801" spans="1:13" x14ac:dyDescent="0.25">
      <c r="A801">
        <v>5494945</v>
      </c>
      <c r="B801" t="s">
        <v>3850</v>
      </c>
      <c r="C801" t="str">
        <f>"9783110444964"</f>
        <v>9783110444964</v>
      </c>
      <c r="D801" t="str">
        <f>"9783110444971"</f>
        <v>9783110444971</v>
      </c>
      <c r="E801" t="s">
        <v>350</v>
      </c>
      <c r="F801" s="1">
        <v>42367</v>
      </c>
      <c r="G801" t="s">
        <v>3851</v>
      </c>
      <c r="H801" t="s">
        <v>139</v>
      </c>
      <c r="I801" t="s">
        <v>3852</v>
      </c>
      <c r="J801">
        <v>939.5</v>
      </c>
      <c r="L801" t="s">
        <v>20</v>
      </c>
      <c r="M801" t="s">
        <v>3853</v>
      </c>
    </row>
    <row r="802" spans="1:13" x14ac:dyDescent="0.25">
      <c r="A802">
        <v>5494946</v>
      </c>
      <c r="B802" t="s">
        <v>3854</v>
      </c>
      <c r="C802" t="str">
        <f>"9783110526035"</f>
        <v>9783110526035</v>
      </c>
      <c r="D802" t="str">
        <f>"9783110526042"</f>
        <v>9783110526042</v>
      </c>
      <c r="E802" t="s">
        <v>350</v>
      </c>
      <c r="F802" s="1">
        <v>42898</v>
      </c>
      <c r="G802" t="s">
        <v>3855</v>
      </c>
      <c r="H802" t="s">
        <v>64</v>
      </c>
      <c r="J802">
        <v>305.231087</v>
      </c>
      <c r="L802" t="s">
        <v>20</v>
      </c>
      <c r="M802" t="s">
        <v>3856</v>
      </c>
    </row>
    <row r="803" spans="1:13" x14ac:dyDescent="0.25">
      <c r="A803">
        <v>5494949</v>
      </c>
      <c r="B803" t="s">
        <v>3857</v>
      </c>
      <c r="C803" t="str">
        <f>"9783110550825"</f>
        <v>9783110550825</v>
      </c>
      <c r="D803" t="str">
        <f>"9783110550832"</f>
        <v>9783110550832</v>
      </c>
      <c r="E803" t="s">
        <v>350</v>
      </c>
      <c r="F803" s="1">
        <v>42968</v>
      </c>
      <c r="G803" t="s">
        <v>3858</v>
      </c>
      <c r="H803" t="s">
        <v>1178</v>
      </c>
      <c r="L803" t="s">
        <v>20</v>
      </c>
      <c r="M803" t="s">
        <v>3859</v>
      </c>
    </row>
    <row r="804" spans="1:13" x14ac:dyDescent="0.25">
      <c r="A804">
        <v>5494956</v>
      </c>
      <c r="B804" t="s">
        <v>3860</v>
      </c>
      <c r="C804" t="str">
        <f>"9783110452457"</f>
        <v>9783110452457</v>
      </c>
      <c r="D804" t="str">
        <f>"9783110452464"</f>
        <v>9783110452464</v>
      </c>
      <c r="E804" t="s">
        <v>350</v>
      </c>
      <c r="F804" s="1">
        <v>42247</v>
      </c>
      <c r="G804" t="s">
        <v>3861</v>
      </c>
      <c r="H804" t="s">
        <v>3862</v>
      </c>
      <c r="L804" t="s">
        <v>20</v>
      </c>
      <c r="M804" t="s">
        <v>3863</v>
      </c>
    </row>
    <row r="805" spans="1:13" x14ac:dyDescent="0.25">
      <c r="A805">
        <v>5494957</v>
      </c>
      <c r="B805" t="s">
        <v>3864</v>
      </c>
      <c r="C805" t="str">
        <f>"9783110550436"</f>
        <v>9783110550436</v>
      </c>
      <c r="D805" t="str">
        <f>"9783110550443"</f>
        <v>9783110550443</v>
      </c>
      <c r="E805" t="s">
        <v>350</v>
      </c>
      <c r="F805" s="1">
        <v>42940</v>
      </c>
      <c r="G805" t="s">
        <v>3865</v>
      </c>
      <c r="H805" t="s">
        <v>2368</v>
      </c>
      <c r="J805">
        <v>330.01519500000001</v>
      </c>
      <c r="L805" t="s">
        <v>20</v>
      </c>
      <c r="M805" t="s">
        <v>3866</v>
      </c>
    </row>
    <row r="806" spans="1:13" x14ac:dyDescent="0.25">
      <c r="A806">
        <v>5494961</v>
      </c>
      <c r="B806" t="s">
        <v>3867</v>
      </c>
      <c r="C806" t="str">
        <f>"9783110550856"</f>
        <v>9783110550856</v>
      </c>
      <c r="D806" t="str">
        <f>"9783110550887"</f>
        <v>9783110550887</v>
      </c>
      <c r="E806" t="s">
        <v>350</v>
      </c>
      <c r="F806" s="1">
        <v>42863</v>
      </c>
      <c r="G806" t="s">
        <v>3868</v>
      </c>
      <c r="H806" t="s">
        <v>1178</v>
      </c>
      <c r="L806" t="s">
        <v>20</v>
      </c>
      <c r="M806" t="s">
        <v>3869</v>
      </c>
    </row>
    <row r="807" spans="1:13" x14ac:dyDescent="0.25">
      <c r="A807">
        <v>5494963</v>
      </c>
      <c r="B807" t="s">
        <v>3870</v>
      </c>
      <c r="C807" t="str">
        <f>"9783110524734"</f>
        <v>9783110524734</v>
      </c>
      <c r="D807" t="str">
        <f>"9783110527094"</f>
        <v>9783110527094</v>
      </c>
      <c r="E807" t="s">
        <v>350</v>
      </c>
      <c r="F807" s="1">
        <v>43262</v>
      </c>
      <c r="G807" t="s">
        <v>3871</v>
      </c>
      <c r="H807" t="s">
        <v>64</v>
      </c>
      <c r="I807" t="s">
        <v>3872</v>
      </c>
      <c r="L807" t="s">
        <v>291</v>
      </c>
      <c r="M807" t="s">
        <v>3873</v>
      </c>
    </row>
    <row r="808" spans="1:13" x14ac:dyDescent="0.25">
      <c r="A808">
        <v>5494967</v>
      </c>
      <c r="B808" t="s">
        <v>3874</v>
      </c>
      <c r="C808" t="str">
        <f>"9783110556483"</f>
        <v>9783110556483</v>
      </c>
      <c r="D808" t="str">
        <f>"9783110556643"</f>
        <v>9783110556643</v>
      </c>
      <c r="E808" t="s">
        <v>350</v>
      </c>
      <c r="F808" s="1">
        <v>42989</v>
      </c>
      <c r="G808" t="s">
        <v>3875</v>
      </c>
      <c r="H808" t="s">
        <v>310</v>
      </c>
      <c r="J808">
        <v>200.19</v>
      </c>
      <c r="L808" t="s">
        <v>20</v>
      </c>
      <c r="M808" t="s">
        <v>3876</v>
      </c>
    </row>
    <row r="809" spans="1:13" x14ac:dyDescent="0.25">
      <c r="A809">
        <v>5494971</v>
      </c>
      <c r="B809" t="s">
        <v>3877</v>
      </c>
      <c r="C809" t="str">
        <f>"9783110569285"</f>
        <v>9783110569285</v>
      </c>
      <c r="D809" t="str">
        <f>"9783110569315"</f>
        <v>9783110569315</v>
      </c>
      <c r="E809" t="s">
        <v>350</v>
      </c>
      <c r="F809" s="1">
        <v>43031</v>
      </c>
      <c r="G809" t="s">
        <v>3878</v>
      </c>
      <c r="H809" t="s">
        <v>139</v>
      </c>
      <c r="J809">
        <v>943.15102000000002</v>
      </c>
      <c r="L809" t="s">
        <v>20</v>
      </c>
      <c r="M809" t="s">
        <v>3879</v>
      </c>
    </row>
    <row r="810" spans="1:13" x14ac:dyDescent="0.25">
      <c r="A810">
        <v>5494975</v>
      </c>
      <c r="B810" t="s">
        <v>3880</v>
      </c>
      <c r="C810" t="str">
        <f>"9783110548365"</f>
        <v>9783110548365</v>
      </c>
      <c r="D810" t="str">
        <f>"9783110548372"</f>
        <v>9783110548372</v>
      </c>
      <c r="E810" t="s">
        <v>350</v>
      </c>
      <c r="F810" s="1">
        <v>42926</v>
      </c>
      <c r="G810" t="s">
        <v>3816</v>
      </c>
      <c r="H810" t="s">
        <v>30</v>
      </c>
      <c r="J810" t="s">
        <v>3817</v>
      </c>
      <c r="L810" t="s">
        <v>20</v>
      </c>
      <c r="M810" t="s">
        <v>3881</v>
      </c>
    </row>
    <row r="811" spans="1:13" x14ac:dyDescent="0.25">
      <c r="A811">
        <v>5494977</v>
      </c>
      <c r="B811" t="s">
        <v>3882</v>
      </c>
      <c r="C811" t="str">
        <f>"9783110518238"</f>
        <v>9783110518238</v>
      </c>
      <c r="D811" t="str">
        <f>"9783110518269"</f>
        <v>9783110518269</v>
      </c>
      <c r="E811" t="s">
        <v>350</v>
      </c>
      <c r="F811" s="1">
        <v>43214</v>
      </c>
      <c r="G811" t="s">
        <v>3883</v>
      </c>
      <c r="H811" t="s">
        <v>851</v>
      </c>
      <c r="L811" t="s">
        <v>20</v>
      </c>
      <c r="M811" t="s">
        <v>3884</v>
      </c>
    </row>
    <row r="812" spans="1:13" x14ac:dyDescent="0.25">
      <c r="A812">
        <v>5494979</v>
      </c>
      <c r="B812" t="s">
        <v>3885</v>
      </c>
      <c r="C812" t="str">
        <f>"9783110539578"</f>
        <v>9783110539578</v>
      </c>
      <c r="D812" t="str">
        <f>"9783110539592"</f>
        <v>9783110539592</v>
      </c>
      <c r="E812" t="s">
        <v>350</v>
      </c>
      <c r="F812" s="1">
        <v>42800</v>
      </c>
      <c r="G812" t="s">
        <v>3886</v>
      </c>
      <c r="H812" t="s">
        <v>3887</v>
      </c>
      <c r="J812">
        <v>613.07109400000002</v>
      </c>
      <c r="L812" t="s">
        <v>20</v>
      </c>
      <c r="M812" t="s">
        <v>3888</v>
      </c>
    </row>
    <row r="813" spans="1:13" x14ac:dyDescent="0.25">
      <c r="A813">
        <v>5494980</v>
      </c>
      <c r="B813" t="s">
        <v>3889</v>
      </c>
      <c r="C813" t="str">
        <f>"9783110559033"</f>
        <v>9783110559033</v>
      </c>
      <c r="D813" t="str">
        <f>"9783110559040"</f>
        <v>9783110559040</v>
      </c>
      <c r="E813" t="s">
        <v>350</v>
      </c>
      <c r="F813" s="1">
        <v>42912</v>
      </c>
      <c r="G813" t="s">
        <v>3890</v>
      </c>
      <c r="H813" t="s">
        <v>3891</v>
      </c>
      <c r="L813" t="s">
        <v>20</v>
      </c>
      <c r="M813" t="s">
        <v>3892</v>
      </c>
    </row>
    <row r="814" spans="1:13" x14ac:dyDescent="0.25">
      <c r="A814">
        <v>5494981</v>
      </c>
      <c r="B814" t="s">
        <v>3893</v>
      </c>
      <c r="C814" t="str">
        <f>"9783110571554"</f>
        <v>9783110571554</v>
      </c>
      <c r="D814" t="str">
        <f>"9783110571561"</f>
        <v>9783110571561</v>
      </c>
      <c r="E814" t="s">
        <v>350</v>
      </c>
      <c r="F814" s="1">
        <v>43189</v>
      </c>
      <c r="G814" t="s">
        <v>3894</v>
      </c>
      <c r="H814" t="s">
        <v>1178</v>
      </c>
      <c r="L814" t="s">
        <v>20</v>
      </c>
      <c r="M814" t="s">
        <v>3895</v>
      </c>
    </row>
    <row r="815" spans="1:13" x14ac:dyDescent="0.25">
      <c r="A815">
        <v>5494982</v>
      </c>
      <c r="B815" t="s">
        <v>3896</v>
      </c>
      <c r="C815" t="str">
        <f>"9783110472165"</f>
        <v>9783110472165</v>
      </c>
      <c r="D815" t="str">
        <f>"9783110472172"</f>
        <v>9783110472172</v>
      </c>
      <c r="E815" t="s">
        <v>350</v>
      </c>
      <c r="F815" s="1">
        <v>42422</v>
      </c>
      <c r="G815" t="s">
        <v>3897</v>
      </c>
      <c r="H815" t="s">
        <v>266</v>
      </c>
      <c r="I815" t="s">
        <v>3898</v>
      </c>
      <c r="J815">
        <v>610.69000000000005</v>
      </c>
      <c r="L815" t="s">
        <v>20</v>
      </c>
      <c r="M815" t="s">
        <v>3899</v>
      </c>
    </row>
    <row r="816" spans="1:13" x14ac:dyDescent="0.25">
      <c r="A816">
        <v>5495468</v>
      </c>
      <c r="B816" t="s">
        <v>3900</v>
      </c>
      <c r="C816" t="str">
        <f>"9781783744794"</f>
        <v>9781783744794</v>
      </c>
      <c r="D816" t="str">
        <f>"9781783744800"</f>
        <v>9781783744800</v>
      </c>
      <c r="E816" t="s">
        <v>2270</v>
      </c>
      <c r="F816" s="1">
        <v>43250</v>
      </c>
      <c r="G816" t="s">
        <v>3901</v>
      </c>
      <c r="H816" t="s">
        <v>64</v>
      </c>
      <c r="L816" t="s">
        <v>20</v>
      </c>
      <c r="M816" t="s">
        <v>3902</v>
      </c>
    </row>
    <row r="817" spans="1:13" x14ac:dyDescent="0.25">
      <c r="A817">
        <v>5495469</v>
      </c>
      <c r="B817" t="s">
        <v>3903</v>
      </c>
      <c r="C817" t="str">
        <f>"9781783743940"</f>
        <v>9781783743940</v>
      </c>
      <c r="D817" t="str">
        <f>"9781783743957"</f>
        <v>9781783743957</v>
      </c>
      <c r="E817" t="s">
        <v>2270</v>
      </c>
      <c r="F817" s="1">
        <v>43244</v>
      </c>
      <c r="G817" t="s">
        <v>3904</v>
      </c>
      <c r="H817" t="s">
        <v>70</v>
      </c>
      <c r="J817" t="s">
        <v>3905</v>
      </c>
      <c r="L817" t="s">
        <v>20</v>
      </c>
      <c r="M817" t="s">
        <v>3906</v>
      </c>
    </row>
    <row r="818" spans="1:13" x14ac:dyDescent="0.25">
      <c r="A818">
        <v>5495470</v>
      </c>
      <c r="B818" t="s">
        <v>3907</v>
      </c>
      <c r="C818" t="str">
        <f>"9781783744343"</f>
        <v>9781783744343</v>
      </c>
      <c r="D818" t="str">
        <f>"9781783744350"</f>
        <v>9781783744350</v>
      </c>
      <c r="E818" t="s">
        <v>2270</v>
      </c>
      <c r="F818" s="1">
        <v>43262</v>
      </c>
      <c r="G818" t="s">
        <v>3908</v>
      </c>
      <c r="H818" t="s">
        <v>70</v>
      </c>
      <c r="J818">
        <v>841.1</v>
      </c>
      <c r="L818" t="s">
        <v>20</v>
      </c>
      <c r="M818" t="s">
        <v>3909</v>
      </c>
    </row>
    <row r="819" spans="1:13" x14ac:dyDescent="0.25">
      <c r="A819">
        <v>5495471</v>
      </c>
      <c r="B819" t="s">
        <v>3910</v>
      </c>
      <c r="C819" t="str">
        <f>"9781783744299"</f>
        <v>9781783744299</v>
      </c>
      <c r="D819" t="str">
        <f>"9781783744305"</f>
        <v>9781783744305</v>
      </c>
      <c r="E819" t="s">
        <v>2270</v>
      </c>
      <c r="F819" s="1">
        <v>43236</v>
      </c>
      <c r="G819" t="s">
        <v>3497</v>
      </c>
      <c r="H819" t="s">
        <v>2709</v>
      </c>
      <c r="I819" t="s">
        <v>3911</v>
      </c>
      <c r="J819">
        <v>333.95159999999902</v>
      </c>
      <c r="K819" t="s">
        <v>3912</v>
      </c>
      <c r="L819" t="s">
        <v>20</v>
      </c>
      <c r="M819" t="s">
        <v>3913</v>
      </c>
    </row>
    <row r="820" spans="1:13" x14ac:dyDescent="0.25">
      <c r="A820">
        <v>5495472</v>
      </c>
      <c r="B820" t="s">
        <v>3914</v>
      </c>
      <c r="C820" t="str">
        <f>"9781783745074"</f>
        <v>9781783745074</v>
      </c>
      <c r="D820" t="str">
        <f>"9781783745081"</f>
        <v>9781783745081</v>
      </c>
      <c r="E820" t="s">
        <v>2270</v>
      </c>
      <c r="F820" s="1">
        <v>43306</v>
      </c>
      <c r="G820" t="s">
        <v>3908</v>
      </c>
      <c r="H820" t="s">
        <v>70</v>
      </c>
      <c r="J820">
        <v>841.1</v>
      </c>
      <c r="L820" t="s">
        <v>20</v>
      </c>
      <c r="M820" t="s">
        <v>3915</v>
      </c>
    </row>
    <row r="821" spans="1:13" x14ac:dyDescent="0.25">
      <c r="A821">
        <v>5495473</v>
      </c>
      <c r="B821" t="s">
        <v>3916</v>
      </c>
      <c r="C821" t="str">
        <f>"9781783744473"</f>
        <v>9781783744473</v>
      </c>
      <c r="D821" t="str">
        <f>"9781783744480"</f>
        <v>9781783744480</v>
      </c>
      <c r="E821" t="s">
        <v>2270</v>
      </c>
      <c r="F821" s="1">
        <v>43255</v>
      </c>
      <c r="G821" t="s">
        <v>3917</v>
      </c>
      <c r="H821" t="s">
        <v>70</v>
      </c>
      <c r="L821" t="s">
        <v>20</v>
      </c>
      <c r="M821" t="s">
        <v>3918</v>
      </c>
    </row>
    <row r="822" spans="1:13" x14ac:dyDescent="0.25">
      <c r="A822">
        <v>5495474</v>
      </c>
      <c r="B822" t="s">
        <v>3919</v>
      </c>
      <c r="C822" t="str">
        <f>"9781783744428"</f>
        <v>9781783744428</v>
      </c>
      <c r="D822" t="str">
        <f>"9781783744435"</f>
        <v>9781783744435</v>
      </c>
      <c r="E822" t="s">
        <v>2270</v>
      </c>
      <c r="F822" s="1">
        <v>43270</v>
      </c>
      <c r="G822" t="s">
        <v>3920</v>
      </c>
      <c r="H822" t="s">
        <v>16</v>
      </c>
      <c r="L822" t="s">
        <v>291</v>
      </c>
      <c r="M822" t="s">
        <v>3921</v>
      </c>
    </row>
    <row r="823" spans="1:13" x14ac:dyDescent="0.25">
      <c r="A823">
        <v>5496127</v>
      </c>
      <c r="B823" t="s">
        <v>3922</v>
      </c>
      <c r="C823" t="str">
        <f>"9782759227563"</f>
        <v>9782759227563</v>
      </c>
      <c r="D823" t="str">
        <f>"9782759227570"</f>
        <v>9782759227570</v>
      </c>
      <c r="E823" t="s">
        <v>2434</v>
      </c>
      <c r="F823" s="1">
        <v>43286</v>
      </c>
      <c r="G823" t="s">
        <v>3923</v>
      </c>
      <c r="H823" t="s">
        <v>83</v>
      </c>
      <c r="L823" t="s">
        <v>1279</v>
      </c>
      <c r="M823" t="s">
        <v>3924</v>
      </c>
    </row>
    <row r="824" spans="1:13" x14ac:dyDescent="0.25">
      <c r="A824">
        <v>5499585</v>
      </c>
      <c r="B824" t="s">
        <v>3925</v>
      </c>
      <c r="C824" t="str">
        <f>"9783110538717"</f>
        <v>9783110538717</v>
      </c>
      <c r="D824" t="str">
        <f>"9783110538724"</f>
        <v>9783110538724</v>
      </c>
      <c r="E824" t="s">
        <v>350</v>
      </c>
      <c r="F824" s="1">
        <v>43381</v>
      </c>
      <c r="G824" t="s">
        <v>3926</v>
      </c>
      <c r="H824" t="s">
        <v>163</v>
      </c>
      <c r="L824" t="s">
        <v>291</v>
      </c>
      <c r="M824" t="s">
        <v>3927</v>
      </c>
    </row>
    <row r="825" spans="1:13" x14ac:dyDescent="0.25">
      <c r="A825">
        <v>5502819</v>
      </c>
      <c r="B825" t="s">
        <v>3928</v>
      </c>
      <c r="C825" t="str">
        <f>"9782759228126"</f>
        <v>9782759228126</v>
      </c>
      <c r="D825" t="str">
        <f>"9782759228133"</f>
        <v>9782759228133</v>
      </c>
      <c r="E825" t="s">
        <v>2434</v>
      </c>
      <c r="F825" s="1">
        <v>43279</v>
      </c>
      <c r="G825" t="s">
        <v>3929</v>
      </c>
      <c r="H825" t="s">
        <v>64</v>
      </c>
      <c r="L825" t="s">
        <v>1279</v>
      </c>
      <c r="M825" t="s">
        <v>3930</v>
      </c>
    </row>
    <row r="826" spans="1:13" x14ac:dyDescent="0.25">
      <c r="A826">
        <v>5507663</v>
      </c>
      <c r="B826" t="s">
        <v>3931</v>
      </c>
      <c r="C826" t="str">
        <f>"9783110426946"</f>
        <v>9783110426946</v>
      </c>
      <c r="D826" t="str">
        <f>"9783110426953"</f>
        <v>9783110426953</v>
      </c>
      <c r="E826" t="s">
        <v>350</v>
      </c>
      <c r="F826" s="1">
        <v>43059</v>
      </c>
      <c r="G826" t="s">
        <v>3932</v>
      </c>
      <c r="H826" t="s">
        <v>3933</v>
      </c>
      <c r="L826" t="s">
        <v>20</v>
      </c>
      <c r="M826" t="s">
        <v>3934</v>
      </c>
    </row>
    <row r="827" spans="1:13" x14ac:dyDescent="0.25">
      <c r="A827">
        <v>5507664</v>
      </c>
      <c r="B827" t="s">
        <v>3935</v>
      </c>
      <c r="C827" t="str">
        <f>"9783110575408"</f>
        <v>9783110575408</v>
      </c>
      <c r="D827" t="str">
        <f>"9783110575446"</f>
        <v>9783110575446</v>
      </c>
      <c r="E827" t="s">
        <v>350</v>
      </c>
      <c r="F827" s="1">
        <v>43423</v>
      </c>
      <c r="G827" t="s">
        <v>3936</v>
      </c>
      <c r="H827" t="s">
        <v>3937</v>
      </c>
      <c r="L827" t="s">
        <v>20</v>
      </c>
      <c r="M827" t="s">
        <v>3938</v>
      </c>
    </row>
    <row r="828" spans="1:13" x14ac:dyDescent="0.25">
      <c r="A828">
        <v>5507666</v>
      </c>
      <c r="B828" t="s">
        <v>3939</v>
      </c>
      <c r="C828" t="str">
        <f>"9783110554847"</f>
        <v>9783110554847</v>
      </c>
      <c r="D828" t="str">
        <f>"9783110583717"</f>
        <v>9783110583717</v>
      </c>
      <c r="E828" t="s">
        <v>350</v>
      </c>
      <c r="F828" s="1">
        <v>43290</v>
      </c>
      <c r="G828" t="s">
        <v>3940</v>
      </c>
      <c r="H828" t="s">
        <v>139</v>
      </c>
      <c r="L828" t="s">
        <v>291</v>
      </c>
      <c r="M828" t="s">
        <v>3941</v>
      </c>
    </row>
    <row r="829" spans="1:13" x14ac:dyDescent="0.25">
      <c r="A829">
        <v>5507667</v>
      </c>
      <c r="B829" t="s">
        <v>3942</v>
      </c>
      <c r="C829" t="str">
        <f>"9783110463668"</f>
        <v>9783110463668</v>
      </c>
      <c r="D829" t="str">
        <f>"9783110464979"</f>
        <v>9783110464979</v>
      </c>
      <c r="E829" t="s">
        <v>270</v>
      </c>
      <c r="F829" s="1">
        <v>43381</v>
      </c>
      <c r="G829" t="s">
        <v>3943</v>
      </c>
      <c r="H829" t="s">
        <v>246</v>
      </c>
      <c r="I829" t="s">
        <v>3944</v>
      </c>
      <c r="L829" t="s">
        <v>20</v>
      </c>
      <c r="M829" t="s">
        <v>3945</v>
      </c>
    </row>
    <row r="830" spans="1:13" x14ac:dyDescent="0.25">
      <c r="A830">
        <v>5507668</v>
      </c>
      <c r="B830" t="s">
        <v>3946</v>
      </c>
      <c r="C830" t="str">
        <f>"9783110553260"</f>
        <v>9783110553260</v>
      </c>
      <c r="D830" t="str">
        <f>"9783110553314"</f>
        <v>9783110553314</v>
      </c>
      <c r="E830" t="s">
        <v>350</v>
      </c>
      <c r="F830" s="1">
        <v>43451</v>
      </c>
      <c r="G830" t="s">
        <v>3947</v>
      </c>
      <c r="H830" t="s">
        <v>3948</v>
      </c>
      <c r="I830" t="s">
        <v>3949</v>
      </c>
      <c r="L830" t="s">
        <v>291</v>
      </c>
      <c r="M830" t="s">
        <v>3950</v>
      </c>
    </row>
    <row r="831" spans="1:13" x14ac:dyDescent="0.25">
      <c r="A831">
        <v>5511083</v>
      </c>
      <c r="B831" t="s">
        <v>3951</v>
      </c>
      <c r="C831" t="str">
        <f>"9783110584547"</f>
        <v>9783110584547</v>
      </c>
      <c r="D831" t="str">
        <f>"9783110587173"</f>
        <v>9783110587173</v>
      </c>
      <c r="E831" t="s">
        <v>350</v>
      </c>
      <c r="F831" s="1">
        <v>43242</v>
      </c>
      <c r="G831" t="s">
        <v>3952</v>
      </c>
      <c r="H831" t="s">
        <v>139</v>
      </c>
      <c r="L831" t="s">
        <v>291</v>
      </c>
      <c r="M831" t="s">
        <v>3953</v>
      </c>
    </row>
    <row r="832" spans="1:13" x14ac:dyDescent="0.25">
      <c r="A832">
        <v>5511084</v>
      </c>
      <c r="B832" t="s">
        <v>3954</v>
      </c>
      <c r="C832" t="str">
        <f>"9783110553277"</f>
        <v>9783110553277</v>
      </c>
      <c r="D832" t="str">
        <f>"9783110555165"</f>
        <v>9783110555165</v>
      </c>
      <c r="E832" t="s">
        <v>350</v>
      </c>
      <c r="F832" s="1">
        <v>43395</v>
      </c>
      <c r="G832" t="s">
        <v>3955</v>
      </c>
      <c r="H832" t="s">
        <v>851</v>
      </c>
      <c r="L832" t="s">
        <v>291</v>
      </c>
      <c r="M832" t="s">
        <v>3956</v>
      </c>
    </row>
    <row r="833" spans="1:13" x14ac:dyDescent="0.25">
      <c r="A833">
        <v>5511085</v>
      </c>
      <c r="B833" t="s">
        <v>3957</v>
      </c>
      <c r="C833" t="str">
        <f>"9783110557565"</f>
        <v>9783110557565</v>
      </c>
      <c r="D833" t="str">
        <f>"9783110557657"</f>
        <v>9783110557657</v>
      </c>
      <c r="E833" t="s">
        <v>350</v>
      </c>
      <c r="F833" s="1">
        <v>43353</v>
      </c>
      <c r="G833" t="s">
        <v>3958</v>
      </c>
      <c r="H833" t="s">
        <v>310</v>
      </c>
      <c r="I833" t="s">
        <v>3959</v>
      </c>
      <c r="L833" t="s">
        <v>20</v>
      </c>
      <c r="M833" t="s">
        <v>3960</v>
      </c>
    </row>
    <row r="834" spans="1:13" x14ac:dyDescent="0.25">
      <c r="A834">
        <v>5511086</v>
      </c>
      <c r="B834" t="s">
        <v>3961</v>
      </c>
      <c r="C834" t="str">
        <f>"9783110536386"</f>
        <v>9783110536386</v>
      </c>
      <c r="D834" t="str">
        <f>"9783110536638"</f>
        <v>9783110536638</v>
      </c>
      <c r="E834" t="s">
        <v>350</v>
      </c>
      <c r="F834" s="1">
        <v>43199</v>
      </c>
      <c r="G834" t="s">
        <v>3962</v>
      </c>
      <c r="H834" t="s">
        <v>70</v>
      </c>
      <c r="L834" t="s">
        <v>20</v>
      </c>
      <c r="M834" t="s">
        <v>3963</v>
      </c>
    </row>
    <row r="835" spans="1:13" x14ac:dyDescent="0.25">
      <c r="A835">
        <v>5511087</v>
      </c>
      <c r="B835" t="s">
        <v>3964</v>
      </c>
      <c r="C835" t="str">
        <f>"9783110495003"</f>
        <v>9783110495003</v>
      </c>
      <c r="D835" t="str">
        <f>"9783110495416"</f>
        <v>9783110495416</v>
      </c>
      <c r="E835" t="s">
        <v>350</v>
      </c>
      <c r="F835" s="1">
        <v>43213</v>
      </c>
      <c r="G835" t="s">
        <v>3965</v>
      </c>
      <c r="H835" t="s">
        <v>70</v>
      </c>
      <c r="J835" t="s">
        <v>3966</v>
      </c>
      <c r="L835" t="s">
        <v>20</v>
      </c>
      <c r="M835" t="s">
        <v>3967</v>
      </c>
    </row>
    <row r="836" spans="1:13" x14ac:dyDescent="0.25">
      <c r="A836">
        <v>5511088</v>
      </c>
      <c r="B836" t="s">
        <v>3968</v>
      </c>
      <c r="C836" t="str">
        <f>"9783110562538"</f>
        <v>9783110562538</v>
      </c>
      <c r="D836" t="str">
        <f>"9783110562545"</f>
        <v>9783110562545</v>
      </c>
      <c r="E836" t="s">
        <v>350</v>
      </c>
      <c r="F836" s="1">
        <v>43087</v>
      </c>
      <c r="G836" t="s">
        <v>3792</v>
      </c>
      <c r="H836" t="s">
        <v>3969</v>
      </c>
      <c r="L836" t="s">
        <v>20</v>
      </c>
      <c r="M836" t="s">
        <v>3970</v>
      </c>
    </row>
    <row r="837" spans="1:13" x14ac:dyDescent="0.25">
      <c r="A837">
        <v>5511089</v>
      </c>
      <c r="B837" t="s">
        <v>3971</v>
      </c>
      <c r="C837" t="str">
        <f>"9781501514548"</f>
        <v>9781501514548</v>
      </c>
      <c r="D837" t="str">
        <f>"9781501505393"</f>
        <v>9781501505393</v>
      </c>
      <c r="E837" t="s">
        <v>270</v>
      </c>
      <c r="F837" s="1">
        <v>43290</v>
      </c>
      <c r="G837" t="s">
        <v>3972</v>
      </c>
      <c r="H837" t="s">
        <v>3973</v>
      </c>
      <c r="L837" t="s">
        <v>20</v>
      </c>
      <c r="M837" t="s">
        <v>3974</v>
      </c>
    </row>
    <row r="838" spans="1:13" x14ac:dyDescent="0.25">
      <c r="A838">
        <v>5511090</v>
      </c>
      <c r="B838" t="s">
        <v>3975</v>
      </c>
      <c r="C838" t="str">
        <f>"9783110591965"</f>
        <v>9783110591965</v>
      </c>
      <c r="D838" t="str">
        <f>"9783110594188"</f>
        <v>9783110594188</v>
      </c>
      <c r="E838" t="s">
        <v>350</v>
      </c>
      <c r="F838" s="1">
        <v>43178</v>
      </c>
      <c r="G838" t="s">
        <v>3976</v>
      </c>
      <c r="H838" t="s">
        <v>3977</v>
      </c>
      <c r="L838" t="s">
        <v>291</v>
      </c>
      <c r="M838" t="s">
        <v>3978</v>
      </c>
    </row>
    <row r="839" spans="1:13" x14ac:dyDescent="0.25">
      <c r="A839">
        <v>5511091</v>
      </c>
      <c r="B839" t="s">
        <v>3979</v>
      </c>
      <c r="C839" t="str">
        <f>"9783110567632"</f>
        <v>9783110567632</v>
      </c>
      <c r="D839" t="str">
        <f>"9783110570557"</f>
        <v>9783110570557</v>
      </c>
      <c r="E839" t="s">
        <v>350</v>
      </c>
      <c r="F839" s="1">
        <v>43395</v>
      </c>
      <c r="G839" t="s">
        <v>3980</v>
      </c>
      <c r="H839" t="s">
        <v>495</v>
      </c>
      <c r="L839" t="s">
        <v>291</v>
      </c>
      <c r="M839" t="s">
        <v>3981</v>
      </c>
    </row>
    <row r="840" spans="1:13" x14ac:dyDescent="0.25">
      <c r="A840">
        <v>5511092</v>
      </c>
      <c r="B840" t="s">
        <v>3982</v>
      </c>
      <c r="C840" t="str">
        <f>"9783110538526"</f>
        <v>9783110538526</v>
      </c>
      <c r="D840" t="str">
        <f>"9783110547450"</f>
        <v>9783110547450</v>
      </c>
      <c r="E840" t="s">
        <v>350</v>
      </c>
      <c r="F840" s="1">
        <v>43242</v>
      </c>
      <c r="G840" t="s">
        <v>3795</v>
      </c>
      <c r="H840" t="s">
        <v>743</v>
      </c>
      <c r="L840" t="s">
        <v>20</v>
      </c>
      <c r="M840" t="s">
        <v>3983</v>
      </c>
    </row>
    <row r="841" spans="1:13" x14ac:dyDescent="0.25">
      <c r="A841">
        <v>5511093</v>
      </c>
      <c r="B841" t="s">
        <v>3984</v>
      </c>
      <c r="C841" t="str">
        <f>"9783110501711"</f>
        <v>9783110501711</v>
      </c>
      <c r="D841" t="str">
        <f>"9783110502060"</f>
        <v>9783110502060</v>
      </c>
      <c r="E841" t="s">
        <v>350</v>
      </c>
      <c r="F841" s="1">
        <v>43290</v>
      </c>
      <c r="G841" t="s">
        <v>3985</v>
      </c>
      <c r="H841" t="s">
        <v>3986</v>
      </c>
      <c r="L841" t="s">
        <v>20</v>
      </c>
      <c r="M841" t="s">
        <v>3987</v>
      </c>
    </row>
    <row r="842" spans="1:13" x14ac:dyDescent="0.25">
      <c r="A842">
        <v>5511095</v>
      </c>
      <c r="B842" t="s">
        <v>3988</v>
      </c>
      <c r="C842" t="str">
        <f>"9783484312166"</f>
        <v>9783484312166</v>
      </c>
      <c r="D842" t="str">
        <f>"9783110920017"</f>
        <v>9783110920017</v>
      </c>
      <c r="E842" t="s">
        <v>270</v>
      </c>
      <c r="F842" s="1">
        <v>36690</v>
      </c>
      <c r="G842" t="s">
        <v>3989</v>
      </c>
      <c r="H842" t="s">
        <v>851</v>
      </c>
      <c r="I842" t="s">
        <v>3990</v>
      </c>
      <c r="L842" t="s">
        <v>291</v>
      </c>
      <c r="M842" t="s">
        <v>3991</v>
      </c>
    </row>
    <row r="843" spans="1:13" x14ac:dyDescent="0.25">
      <c r="A843">
        <v>5511096</v>
      </c>
      <c r="B843" t="s">
        <v>3992</v>
      </c>
      <c r="C843" t="str">
        <f>"9783110548907"</f>
        <v>9783110548907</v>
      </c>
      <c r="D843" t="str">
        <f>"9783110550672"</f>
        <v>9783110550672</v>
      </c>
      <c r="E843" t="s">
        <v>350</v>
      </c>
      <c r="F843" s="1">
        <v>43164</v>
      </c>
      <c r="G843" t="s">
        <v>3993</v>
      </c>
      <c r="H843" t="s">
        <v>903</v>
      </c>
      <c r="L843" t="s">
        <v>291</v>
      </c>
      <c r="M843" t="s">
        <v>3994</v>
      </c>
    </row>
    <row r="844" spans="1:13" x14ac:dyDescent="0.25">
      <c r="A844">
        <v>5517365</v>
      </c>
      <c r="B844" t="s">
        <v>3995</v>
      </c>
      <c r="C844" t="str">
        <f>"9783110584981"</f>
        <v>9783110584981</v>
      </c>
      <c r="D844" t="str">
        <f>"9783110584998"</f>
        <v>9783110584998</v>
      </c>
      <c r="E844" t="s">
        <v>350</v>
      </c>
      <c r="F844" s="1">
        <v>43109</v>
      </c>
      <c r="G844" t="s">
        <v>3996</v>
      </c>
      <c r="H844" t="s">
        <v>712</v>
      </c>
      <c r="L844" t="s">
        <v>20</v>
      </c>
      <c r="M844" t="s">
        <v>3997</v>
      </c>
    </row>
    <row r="845" spans="1:13" x14ac:dyDescent="0.25">
      <c r="A845">
        <v>5517374</v>
      </c>
      <c r="B845" t="s">
        <v>3998</v>
      </c>
      <c r="C845" t="str">
        <f>"9783110535228"</f>
        <v>9783110535228</v>
      </c>
      <c r="D845" t="str">
        <f>"9783110536409"</f>
        <v>9783110536409</v>
      </c>
      <c r="E845" t="s">
        <v>350</v>
      </c>
      <c r="F845" s="1">
        <v>43731</v>
      </c>
      <c r="G845" t="s">
        <v>3795</v>
      </c>
      <c r="H845" t="s">
        <v>139</v>
      </c>
      <c r="L845" t="s">
        <v>20</v>
      </c>
      <c r="M845" t="s">
        <v>3999</v>
      </c>
    </row>
    <row r="846" spans="1:13" x14ac:dyDescent="0.25">
      <c r="A846">
        <v>5517379</v>
      </c>
      <c r="B846" t="s">
        <v>4000</v>
      </c>
      <c r="C846" t="str">
        <f>"9783110584967"</f>
        <v>9783110584967</v>
      </c>
      <c r="D846" t="str">
        <f>"9783110584974"</f>
        <v>9783110584974</v>
      </c>
      <c r="E846" t="s">
        <v>350</v>
      </c>
      <c r="F846" s="1">
        <v>43109</v>
      </c>
      <c r="G846" t="s">
        <v>3996</v>
      </c>
      <c r="H846" t="s">
        <v>712</v>
      </c>
      <c r="L846" t="s">
        <v>20</v>
      </c>
      <c r="M846" t="s">
        <v>4001</v>
      </c>
    </row>
    <row r="847" spans="1:13" x14ac:dyDescent="0.25">
      <c r="A847">
        <v>5517386</v>
      </c>
      <c r="B847" t="s">
        <v>4002</v>
      </c>
      <c r="C847" t="str">
        <f>"9783110576467"</f>
        <v>9783110576467</v>
      </c>
      <c r="D847" t="str">
        <f>"9783110576498"</f>
        <v>9783110576498</v>
      </c>
      <c r="E847" t="s">
        <v>350</v>
      </c>
      <c r="F847" s="1">
        <v>43087</v>
      </c>
      <c r="G847" t="s">
        <v>667</v>
      </c>
      <c r="H847" t="s">
        <v>139</v>
      </c>
      <c r="L847" t="s">
        <v>20</v>
      </c>
      <c r="M847" t="s">
        <v>4003</v>
      </c>
    </row>
    <row r="848" spans="1:13" x14ac:dyDescent="0.25">
      <c r="A848">
        <v>5522669</v>
      </c>
      <c r="B848" t="s">
        <v>4004</v>
      </c>
      <c r="C848" t="str">
        <f>"9781618117533"</f>
        <v>9781618117533</v>
      </c>
      <c r="D848" t="str">
        <f>"9781618117540"</f>
        <v>9781618117540</v>
      </c>
      <c r="E848" t="s">
        <v>2224</v>
      </c>
      <c r="F848" s="1">
        <v>43423</v>
      </c>
      <c r="G848" t="s">
        <v>4005</v>
      </c>
      <c r="H848" t="s">
        <v>4006</v>
      </c>
      <c r="I848" t="s">
        <v>4007</v>
      </c>
      <c r="J848">
        <v>296.68</v>
      </c>
      <c r="K848" t="s">
        <v>4008</v>
      </c>
      <c r="L848" t="s">
        <v>20</v>
      </c>
      <c r="M848" t="s">
        <v>4009</v>
      </c>
    </row>
    <row r="849" spans="1:13" x14ac:dyDescent="0.25">
      <c r="A849">
        <v>5525591</v>
      </c>
      <c r="B849" t="s">
        <v>4010</v>
      </c>
      <c r="C849" t="str">
        <f>"9783110562071"</f>
        <v>9783110562071</v>
      </c>
      <c r="D849" t="str">
        <f>"9783110562088"</f>
        <v>9783110562088</v>
      </c>
      <c r="E849" t="s">
        <v>350</v>
      </c>
      <c r="F849" s="1">
        <v>43815</v>
      </c>
      <c r="G849" t="s">
        <v>4011</v>
      </c>
      <c r="H849" t="s">
        <v>851</v>
      </c>
      <c r="L849" t="s">
        <v>20</v>
      </c>
      <c r="M849" t="s">
        <v>4012</v>
      </c>
    </row>
    <row r="850" spans="1:13" x14ac:dyDescent="0.25">
      <c r="A850">
        <v>5525603</v>
      </c>
      <c r="B850" t="s">
        <v>4013</v>
      </c>
      <c r="C850" t="str">
        <f>"9783110486919"</f>
        <v>9783110486919</v>
      </c>
      <c r="D850" t="str">
        <f>"9783110519662"</f>
        <v>9783110519662</v>
      </c>
      <c r="E850" t="s">
        <v>350</v>
      </c>
      <c r="F850" s="1">
        <v>43927</v>
      </c>
      <c r="G850" t="s">
        <v>4014</v>
      </c>
      <c r="H850" t="s">
        <v>2683</v>
      </c>
      <c r="L850" t="s">
        <v>291</v>
      </c>
      <c r="M850" t="s">
        <v>4015</v>
      </c>
    </row>
    <row r="851" spans="1:13" x14ac:dyDescent="0.25">
      <c r="A851">
        <v>5525610</v>
      </c>
      <c r="B851" t="s">
        <v>4016</v>
      </c>
      <c r="C851" t="str">
        <f>"9783110557572"</f>
        <v>9783110557572</v>
      </c>
      <c r="D851" t="str">
        <f>"9783110557596"</f>
        <v>9783110557596</v>
      </c>
      <c r="E851" t="s">
        <v>350</v>
      </c>
      <c r="F851" s="1">
        <v>43927</v>
      </c>
      <c r="G851" t="s">
        <v>4017</v>
      </c>
      <c r="H851" t="s">
        <v>310</v>
      </c>
      <c r="L851" t="s">
        <v>20</v>
      </c>
      <c r="M851" t="s">
        <v>4018</v>
      </c>
    </row>
    <row r="852" spans="1:13" x14ac:dyDescent="0.25">
      <c r="A852">
        <v>5525620</v>
      </c>
      <c r="B852" t="s">
        <v>4019</v>
      </c>
      <c r="C852" t="str">
        <f>"9781501513633"</f>
        <v>9781501513633</v>
      </c>
      <c r="D852" t="str">
        <f>"9781501504914"</f>
        <v>9781501504914</v>
      </c>
      <c r="E852" t="s">
        <v>270</v>
      </c>
      <c r="F852" s="1">
        <v>43290</v>
      </c>
      <c r="G852" t="s">
        <v>4020</v>
      </c>
      <c r="H852" t="s">
        <v>4021</v>
      </c>
      <c r="L852" t="s">
        <v>20</v>
      </c>
      <c r="M852" t="s">
        <v>4022</v>
      </c>
    </row>
    <row r="853" spans="1:13" x14ac:dyDescent="0.25">
      <c r="A853">
        <v>5525630</v>
      </c>
      <c r="B853" t="s">
        <v>4023</v>
      </c>
      <c r="C853" t="str">
        <f>"9783110565317"</f>
        <v>9783110565317</v>
      </c>
      <c r="D853" t="str">
        <f>"9783110568509"</f>
        <v>9783110568509</v>
      </c>
      <c r="E853" t="s">
        <v>350</v>
      </c>
      <c r="F853" s="1">
        <v>43059</v>
      </c>
      <c r="G853" t="s">
        <v>4024</v>
      </c>
      <c r="H853" t="s">
        <v>101</v>
      </c>
      <c r="L853" t="s">
        <v>1213</v>
      </c>
      <c r="M853" t="s">
        <v>4025</v>
      </c>
    </row>
    <row r="854" spans="1:13" x14ac:dyDescent="0.25">
      <c r="A854">
        <v>5525636</v>
      </c>
      <c r="B854" t="s">
        <v>4026</v>
      </c>
      <c r="C854" t="str">
        <f>"9781501515279"</f>
        <v>9781501515279</v>
      </c>
      <c r="D854" t="str">
        <f>"9781501506550"</f>
        <v>9781501506550</v>
      </c>
      <c r="E854" t="s">
        <v>350</v>
      </c>
      <c r="F854" s="1">
        <v>44130</v>
      </c>
      <c r="G854" t="s">
        <v>4027</v>
      </c>
      <c r="H854" t="s">
        <v>266</v>
      </c>
      <c r="J854">
        <v>610.93499999999995</v>
      </c>
      <c r="L854" t="s">
        <v>20</v>
      </c>
      <c r="M854" t="s">
        <v>4028</v>
      </c>
    </row>
    <row r="855" spans="1:13" x14ac:dyDescent="0.25">
      <c r="A855">
        <v>5525674</v>
      </c>
      <c r="B855" t="s">
        <v>4029</v>
      </c>
      <c r="C855" t="str">
        <f>"9783110560879"</f>
        <v>9783110560879</v>
      </c>
      <c r="D855" t="str">
        <f>"9783110563320"</f>
        <v>9783110563320</v>
      </c>
      <c r="E855" t="s">
        <v>270</v>
      </c>
      <c r="F855" s="1">
        <v>43087</v>
      </c>
      <c r="G855" t="s">
        <v>4030</v>
      </c>
      <c r="H855" t="s">
        <v>70</v>
      </c>
      <c r="L855" t="s">
        <v>291</v>
      </c>
      <c r="M855" t="s">
        <v>4031</v>
      </c>
    </row>
    <row r="856" spans="1:13" x14ac:dyDescent="0.25">
      <c r="A856">
        <v>5525717</v>
      </c>
      <c r="B856" t="s">
        <v>4032</v>
      </c>
      <c r="C856" t="str">
        <f>"9783110549522"</f>
        <v>9783110549522</v>
      </c>
      <c r="D856" t="str">
        <f>"9783110549577"</f>
        <v>9783110549577</v>
      </c>
      <c r="E856" t="s">
        <v>350</v>
      </c>
      <c r="F856" s="1">
        <v>43164</v>
      </c>
      <c r="G856" t="s">
        <v>4033</v>
      </c>
      <c r="H856" t="s">
        <v>70</v>
      </c>
      <c r="J856">
        <v>809</v>
      </c>
      <c r="L856" t="s">
        <v>20</v>
      </c>
      <c r="M856" t="s">
        <v>4034</v>
      </c>
    </row>
    <row r="857" spans="1:13" x14ac:dyDescent="0.25">
      <c r="A857">
        <v>5525745</v>
      </c>
      <c r="B857" t="s">
        <v>4035</v>
      </c>
      <c r="C857" t="str">
        <f>"9783110060157"</f>
        <v>9783110060157</v>
      </c>
      <c r="D857" t="str">
        <f>"9783110903249"</f>
        <v>9783110903249</v>
      </c>
      <c r="E857" t="s">
        <v>270</v>
      </c>
      <c r="F857" s="1">
        <v>25385</v>
      </c>
      <c r="G857" t="s">
        <v>4036</v>
      </c>
      <c r="H857" t="s">
        <v>239</v>
      </c>
      <c r="L857" t="s">
        <v>291</v>
      </c>
      <c r="M857" t="s">
        <v>4037</v>
      </c>
    </row>
    <row r="858" spans="1:13" x14ac:dyDescent="0.25">
      <c r="A858">
        <v>5527494</v>
      </c>
      <c r="B858" t="s">
        <v>4038</v>
      </c>
      <c r="C858" t="str">
        <f>"9781783744954"</f>
        <v>9781783744954</v>
      </c>
      <c r="D858" t="str">
        <f>"9781783744961"</f>
        <v>9781783744961</v>
      </c>
      <c r="E858" t="s">
        <v>2270</v>
      </c>
      <c r="F858" s="1">
        <v>43350</v>
      </c>
      <c r="G858" t="s">
        <v>4039</v>
      </c>
      <c r="H858" t="s">
        <v>139</v>
      </c>
      <c r="L858" t="s">
        <v>20</v>
      </c>
      <c r="M858" t="s">
        <v>4040</v>
      </c>
    </row>
    <row r="859" spans="1:13" x14ac:dyDescent="0.25">
      <c r="A859">
        <v>5527495</v>
      </c>
      <c r="B859" t="s">
        <v>4041</v>
      </c>
      <c r="C859" t="str">
        <f>"9781783745128"</f>
        <v>9781783745128</v>
      </c>
      <c r="D859" t="str">
        <f>"9781783745135"</f>
        <v>9781783745135</v>
      </c>
      <c r="E859" t="s">
        <v>2270</v>
      </c>
      <c r="F859" s="1">
        <v>43367</v>
      </c>
      <c r="G859" t="s">
        <v>4042</v>
      </c>
      <c r="H859" t="s">
        <v>2693</v>
      </c>
      <c r="L859" t="s">
        <v>20</v>
      </c>
      <c r="M859" t="s">
        <v>4043</v>
      </c>
    </row>
    <row r="860" spans="1:13" x14ac:dyDescent="0.25">
      <c r="A860">
        <v>5527496</v>
      </c>
      <c r="B860" t="s">
        <v>4044</v>
      </c>
      <c r="C860" t="str">
        <f>"9781783745227"</f>
        <v>9781783745227</v>
      </c>
      <c r="D860" t="str">
        <f>"9781783745234"</f>
        <v>9781783745234</v>
      </c>
      <c r="E860" t="s">
        <v>2270</v>
      </c>
      <c r="F860" s="1">
        <v>43340</v>
      </c>
      <c r="G860" t="s">
        <v>3908</v>
      </c>
      <c r="H860" t="s">
        <v>70</v>
      </c>
      <c r="J860">
        <v>841.1</v>
      </c>
      <c r="L860" t="s">
        <v>20</v>
      </c>
      <c r="M860" t="s">
        <v>4045</v>
      </c>
    </row>
    <row r="861" spans="1:13" x14ac:dyDescent="0.25">
      <c r="A861">
        <v>5527497</v>
      </c>
      <c r="B861" t="s">
        <v>4046</v>
      </c>
      <c r="C861" t="str">
        <f>"9781783745555"</f>
        <v>9781783745555</v>
      </c>
      <c r="D861" t="str">
        <f>"9781783745562"</f>
        <v>9781783745562</v>
      </c>
      <c r="E861" t="s">
        <v>2270</v>
      </c>
      <c r="F861" s="1">
        <v>43343</v>
      </c>
      <c r="G861" t="s">
        <v>4047</v>
      </c>
      <c r="H861" t="s">
        <v>743</v>
      </c>
      <c r="L861" t="s">
        <v>20</v>
      </c>
      <c r="M861" t="s">
        <v>4048</v>
      </c>
    </row>
    <row r="862" spans="1:13" x14ac:dyDescent="0.25">
      <c r="A862">
        <v>5527498</v>
      </c>
      <c r="B862" t="s">
        <v>4049</v>
      </c>
      <c r="C862" t="str">
        <f>"9781783745906"</f>
        <v>9781783745906</v>
      </c>
      <c r="D862" t="str">
        <f>"9781783745913"</f>
        <v>9781783745913</v>
      </c>
      <c r="E862" t="s">
        <v>2270</v>
      </c>
      <c r="F862" s="1">
        <v>43346</v>
      </c>
      <c r="G862" t="s">
        <v>2320</v>
      </c>
      <c r="H862" t="s">
        <v>70</v>
      </c>
      <c r="L862" t="s">
        <v>20</v>
      </c>
      <c r="M862" t="s">
        <v>4050</v>
      </c>
    </row>
    <row r="863" spans="1:13" x14ac:dyDescent="0.25">
      <c r="A863">
        <v>5530535</v>
      </c>
      <c r="B863" t="s">
        <v>4051</v>
      </c>
      <c r="C863" t="str">
        <f>"9781501514487"</f>
        <v>9781501514487</v>
      </c>
      <c r="D863" t="str">
        <f>"9781501505294"</f>
        <v>9781501505294</v>
      </c>
      <c r="E863" t="s">
        <v>270</v>
      </c>
      <c r="F863" s="1">
        <v>43787</v>
      </c>
      <c r="G863" t="s">
        <v>4052</v>
      </c>
      <c r="H863" t="s">
        <v>1137</v>
      </c>
      <c r="L863" t="s">
        <v>20</v>
      </c>
      <c r="M863" t="s">
        <v>4053</v>
      </c>
    </row>
    <row r="864" spans="1:13" x14ac:dyDescent="0.25">
      <c r="A864">
        <v>5535321</v>
      </c>
      <c r="B864" t="s">
        <v>4054</v>
      </c>
      <c r="C864" t="str">
        <f>"9783110529944"</f>
        <v>9783110529944</v>
      </c>
      <c r="D864" t="str">
        <f>"9783110532241"</f>
        <v>9783110532241</v>
      </c>
      <c r="E864" t="s">
        <v>350</v>
      </c>
      <c r="F864" s="1">
        <v>43031</v>
      </c>
      <c r="G864" t="s">
        <v>4055</v>
      </c>
      <c r="H864" t="s">
        <v>146</v>
      </c>
      <c r="L864" t="s">
        <v>20</v>
      </c>
      <c r="M864" t="s">
        <v>4056</v>
      </c>
    </row>
    <row r="865" spans="1:13" x14ac:dyDescent="0.25">
      <c r="A865">
        <v>5535408</v>
      </c>
      <c r="B865" t="s">
        <v>4057</v>
      </c>
      <c r="C865" t="str">
        <f>"9783110476538"</f>
        <v>9783110476538</v>
      </c>
      <c r="D865" t="str">
        <f>"9783110478068"</f>
        <v>9783110478068</v>
      </c>
      <c r="E865" t="s">
        <v>350</v>
      </c>
      <c r="F865" s="1">
        <v>43304</v>
      </c>
      <c r="G865" t="s">
        <v>4058</v>
      </c>
      <c r="H865" t="s">
        <v>4059</v>
      </c>
      <c r="L865" t="s">
        <v>20</v>
      </c>
      <c r="M865" t="s">
        <v>4060</v>
      </c>
    </row>
    <row r="866" spans="1:13" x14ac:dyDescent="0.25">
      <c r="A866">
        <v>5557554</v>
      </c>
      <c r="B866" t="s">
        <v>4061</v>
      </c>
      <c r="C866" t="str">
        <f>"9783110570366"</f>
        <v>9783110570366</v>
      </c>
      <c r="D866" t="str">
        <f>"9783110574289"</f>
        <v>9783110574289</v>
      </c>
      <c r="E866" t="s">
        <v>350</v>
      </c>
      <c r="F866" s="1">
        <v>43087</v>
      </c>
      <c r="G866" t="s">
        <v>4062</v>
      </c>
      <c r="H866" t="s">
        <v>4063</v>
      </c>
      <c r="L866" t="s">
        <v>291</v>
      </c>
      <c r="M866" t="s">
        <v>4064</v>
      </c>
    </row>
    <row r="867" spans="1:13" x14ac:dyDescent="0.25">
      <c r="A867">
        <v>5557660</v>
      </c>
      <c r="B867" t="s">
        <v>4065</v>
      </c>
      <c r="C867" t="str">
        <f>"9783110471830"</f>
        <v>9783110471830</v>
      </c>
      <c r="D867" t="str">
        <f>"9783110534849"</f>
        <v>9783110534849</v>
      </c>
      <c r="E867" t="s">
        <v>350</v>
      </c>
      <c r="F867" s="1">
        <v>43073</v>
      </c>
      <c r="G867" t="s">
        <v>4066</v>
      </c>
      <c r="H867" t="s">
        <v>288</v>
      </c>
      <c r="L867" t="s">
        <v>291</v>
      </c>
      <c r="M867" t="s">
        <v>4067</v>
      </c>
    </row>
    <row r="868" spans="1:13" x14ac:dyDescent="0.25">
      <c r="A868">
        <v>5561647</v>
      </c>
      <c r="B868" t="s">
        <v>4068</v>
      </c>
      <c r="C868" t="str">
        <f>"9783486567205"</f>
        <v>9783486567205</v>
      </c>
      <c r="D868" t="str">
        <f>"9783486833980"</f>
        <v>9783486833980</v>
      </c>
      <c r="E868" t="s">
        <v>350</v>
      </c>
      <c r="F868" s="1">
        <v>37832</v>
      </c>
      <c r="G868" t="s">
        <v>4069</v>
      </c>
      <c r="H868" t="s">
        <v>310</v>
      </c>
      <c r="I868" t="s">
        <v>4070</v>
      </c>
      <c r="L868" t="s">
        <v>291</v>
      </c>
      <c r="M868" t="s">
        <v>4071</v>
      </c>
    </row>
    <row r="869" spans="1:13" x14ac:dyDescent="0.25">
      <c r="A869">
        <v>5567195</v>
      </c>
      <c r="B869" t="s">
        <v>4072</v>
      </c>
      <c r="C869" t="str">
        <f>"9782759228706"</f>
        <v>9782759228706</v>
      </c>
      <c r="D869" t="str">
        <f>"9782759228713"</f>
        <v>9782759228713</v>
      </c>
      <c r="E869" t="s">
        <v>2434</v>
      </c>
      <c r="F869" s="1">
        <v>43391</v>
      </c>
      <c r="G869" t="s">
        <v>4073</v>
      </c>
      <c r="H869" t="s">
        <v>2479</v>
      </c>
      <c r="L869" t="s">
        <v>1279</v>
      </c>
      <c r="M869" t="s">
        <v>4074</v>
      </c>
    </row>
    <row r="870" spans="1:13" x14ac:dyDescent="0.25">
      <c r="A870">
        <v>5567197</v>
      </c>
      <c r="B870" t="s">
        <v>4075</v>
      </c>
      <c r="C870" t="str">
        <f>"9782759228799"</f>
        <v>9782759228799</v>
      </c>
      <c r="D870" t="str">
        <f>"9782759228805"</f>
        <v>9782759228805</v>
      </c>
      <c r="E870" t="s">
        <v>2434</v>
      </c>
      <c r="F870" s="1">
        <v>43357</v>
      </c>
      <c r="G870" t="s">
        <v>4076</v>
      </c>
      <c r="H870" t="s">
        <v>64</v>
      </c>
      <c r="L870" t="s">
        <v>20</v>
      </c>
      <c r="M870" t="s">
        <v>4077</v>
      </c>
    </row>
    <row r="871" spans="1:13" x14ac:dyDescent="0.25">
      <c r="A871">
        <v>5588963</v>
      </c>
      <c r="B871" t="s">
        <v>4078</v>
      </c>
      <c r="C871" t="str">
        <f>"9783319696225"</f>
        <v>9783319696225</v>
      </c>
      <c r="D871" t="str">
        <f>"9783319696232"</f>
        <v>9783319696232</v>
      </c>
      <c r="E871" t="s">
        <v>2905</v>
      </c>
      <c r="F871" s="1">
        <v>43117</v>
      </c>
      <c r="G871" t="s">
        <v>4079</v>
      </c>
      <c r="H871" t="s">
        <v>16</v>
      </c>
      <c r="I871" t="s">
        <v>4080</v>
      </c>
      <c r="L871" t="s">
        <v>20</v>
      </c>
      <c r="M871" t="s">
        <v>4081</v>
      </c>
    </row>
    <row r="872" spans="1:13" x14ac:dyDescent="0.25">
      <c r="A872">
        <v>5592237</v>
      </c>
      <c r="B872" t="s">
        <v>4082</v>
      </c>
      <c r="C872" t="str">
        <f>"9783319721699"</f>
        <v>9783319721699</v>
      </c>
      <c r="D872" t="str">
        <f>"9783319721705"</f>
        <v>9783319721705</v>
      </c>
      <c r="E872" t="s">
        <v>2905</v>
      </c>
      <c r="F872" s="1">
        <v>43137</v>
      </c>
      <c r="G872" t="s">
        <v>4083</v>
      </c>
      <c r="H872" t="s">
        <v>1178</v>
      </c>
      <c r="I872" t="s">
        <v>4084</v>
      </c>
      <c r="L872" t="s">
        <v>20</v>
      </c>
      <c r="M872" t="s">
        <v>4085</v>
      </c>
    </row>
    <row r="873" spans="1:13" x14ac:dyDescent="0.25">
      <c r="A873">
        <v>5607105</v>
      </c>
      <c r="B873" t="s">
        <v>4086</v>
      </c>
      <c r="C873" t="str">
        <f>"9781783745357"</f>
        <v>9781783745357</v>
      </c>
      <c r="D873" t="str">
        <f>"9781783745364"</f>
        <v>9781783745364</v>
      </c>
      <c r="E873" t="s">
        <v>2270</v>
      </c>
      <c r="F873" s="1">
        <v>43404</v>
      </c>
      <c r="G873" t="s">
        <v>3908</v>
      </c>
      <c r="H873" t="s">
        <v>70</v>
      </c>
      <c r="J873">
        <v>841.1</v>
      </c>
      <c r="L873" t="s">
        <v>20</v>
      </c>
      <c r="M873" t="s">
        <v>4087</v>
      </c>
    </row>
    <row r="874" spans="1:13" x14ac:dyDescent="0.25">
      <c r="A874">
        <v>5607106</v>
      </c>
      <c r="B874" t="s">
        <v>4088</v>
      </c>
      <c r="C874" t="str">
        <f>"9781783745814"</f>
        <v>9781783745814</v>
      </c>
      <c r="D874" t="str">
        <f>"9781783745821"</f>
        <v>9781783745821</v>
      </c>
      <c r="E874" t="s">
        <v>2270</v>
      </c>
      <c r="F874" s="1">
        <v>43388</v>
      </c>
      <c r="G874" t="s">
        <v>3055</v>
      </c>
      <c r="H874" t="s">
        <v>4089</v>
      </c>
      <c r="L874" t="s">
        <v>20</v>
      </c>
      <c r="M874" t="s">
        <v>4090</v>
      </c>
    </row>
    <row r="875" spans="1:13" x14ac:dyDescent="0.25">
      <c r="A875">
        <v>5607107</v>
      </c>
      <c r="B875" t="s">
        <v>4091</v>
      </c>
      <c r="C875" t="str">
        <f>"9781783745012"</f>
        <v>9781783745012</v>
      </c>
      <c r="D875" t="str">
        <f>"9781783745029"</f>
        <v>9781783745029</v>
      </c>
      <c r="E875" t="s">
        <v>2270</v>
      </c>
      <c r="F875" s="1">
        <v>43427</v>
      </c>
      <c r="G875" t="s">
        <v>4092</v>
      </c>
      <c r="H875" t="s">
        <v>4093</v>
      </c>
      <c r="L875" t="s">
        <v>20</v>
      </c>
      <c r="M875" t="s">
        <v>4094</v>
      </c>
    </row>
    <row r="876" spans="1:13" x14ac:dyDescent="0.25">
      <c r="A876">
        <v>5607110</v>
      </c>
      <c r="B876" t="s">
        <v>4095</v>
      </c>
      <c r="C876" t="str">
        <f>"9781783745302"</f>
        <v>9781783745302</v>
      </c>
      <c r="D876" t="str">
        <f>"9781783745319"</f>
        <v>9781783745319</v>
      </c>
      <c r="E876" t="s">
        <v>2270</v>
      </c>
      <c r="F876" s="1">
        <v>43375</v>
      </c>
      <c r="G876" t="s">
        <v>3908</v>
      </c>
      <c r="H876" t="s">
        <v>4096</v>
      </c>
      <c r="L876" t="s">
        <v>20</v>
      </c>
      <c r="M876" t="s">
        <v>4097</v>
      </c>
    </row>
    <row r="877" spans="1:13" x14ac:dyDescent="0.25">
      <c r="A877">
        <v>5625026</v>
      </c>
      <c r="B877" t="s">
        <v>4098</v>
      </c>
      <c r="C877" t="str">
        <f>"9789811307423"</f>
        <v>9789811307423</v>
      </c>
      <c r="D877" t="str">
        <f>"9789811307430"</f>
        <v>9789811307430</v>
      </c>
      <c r="E877" t="s">
        <v>4099</v>
      </c>
      <c r="F877" s="1">
        <v>43479</v>
      </c>
      <c r="G877" t="s">
        <v>4100</v>
      </c>
      <c r="H877" t="s">
        <v>4101</v>
      </c>
      <c r="I877" t="s">
        <v>4102</v>
      </c>
      <c r="J877">
        <v>338.19596999999999</v>
      </c>
      <c r="L877" t="s">
        <v>20</v>
      </c>
      <c r="M877" t="s">
        <v>4103</v>
      </c>
    </row>
    <row r="878" spans="1:13" x14ac:dyDescent="0.25">
      <c r="A878">
        <v>5629085</v>
      </c>
      <c r="B878" t="s">
        <v>4104</v>
      </c>
      <c r="C878" t="str">
        <f>"9782759229161"</f>
        <v>9782759229161</v>
      </c>
      <c r="D878" t="str">
        <f>"9782759229178"</f>
        <v>9782759229178</v>
      </c>
      <c r="E878" t="s">
        <v>2434</v>
      </c>
      <c r="F878" s="1">
        <v>43430</v>
      </c>
      <c r="G878" t="s">
        <v>4105</v>
      </c>
      <c r="H878" t="s">
        <v>83</v>
      </c>
      <c r="L878" t="s">
        <v>1279</v>
      </c>
      <c r="M878" t="s">
        <v>4106</v>
      </c>
    </row>
    <row r="879" spans="1:13" x14ac:dyDescent="0.25">
      <c r="A879">
        <v>5651726</v>
      </c>
      <c r="B879" t="s">
        <v>4107</v>
      </c>
      <c r="C879" t="str">
        <f>"9781783745609"</f>
        <v>9781783745609</v>
      </c>
      <c r="D879" t="str">
        <f>"9781783745616"</f>
        <v>9781783745616</v>
      </c>
      <c r="E879" t="s">
        <v>2270</v>
      </c>
      <c r="F879" s="1">
        <v>43447</v>
      </c>
      <c r="G879" t="s">
        <v>4108</v>
      </c>
      <c r="H879" t="s">
        <v>4109</v>
      </c>
      <c r="J879" t="s">
        <v>4110</v>
      </c>
      <c r="L879" t="s">
        <v>20</v>
      </c>
      <c r="M879" t="s">
        <v>4111</v>
      </c>
    </row>
    <row r="880" spans="1:13" x14ac:dyDescent="0.25">
      <c r="A880">
        <v>5651727</v>
      </c>
      <c r="B880" t="s">
        <v>4112</v>
      </c>
      <c r="C880" t="str">
        <f>"9781783746019"</f>
        <v>9781783746019</v>
      </c>
      <c r="D880" t="str">
        <f>"9781783746026"</f>
        <v>9781783746026</v>
      </c>
      <c r="E880" t="s">
        <v>2270</v>
      </c>
      <c r="F880" s="1">
        <v>43427</v>
      </c>
      <c r="G880" t="s">
        <v>4113</v>
      </c>
      <c r="H880" t="s">
        <v>70</v>
      </c>
      <c r="L880" t="s">
        <v>20</v>
      </c>
      <c r="M880" t="s">
        <v>4114</v>
      </c>
    </row>
    <row r="881" spans="1:13" x14ac:dyDescent="0.25">
      <c r="A881">
        <v>5651728</v>
      </c>
      <c r="B881" t="s">
        <v>4115</v>
      </c>
      <c r="C881" t="str">
        <f>"9781783745401"</f>
        <v>9781783745401</v>
      </c>
      <c r="D881" t="str">
        <f>"9781783745418"</f>
        <v>9781783745418</v>
      </c>
      <c r="E881" t="s">
        <v>2270</v>
      </c>
      <c r="F881" s="1">
        <v>43446</v>
      </c>
      <c r="G881" t="s">
        <v>3908</v>
      </c>
      <c r="H881" t="s">
        <v>70</v>
      </c>
      <c r="J881">
        <v>841.1</v>
      </c>
      <c r="L881" t="s">
        <v>20</v>
      </c>
      <c r="M881" t="s">
        <v>4116</v>
      </c>
    </row>
    <row r="882" spans="1:13" x14ac:dyDescent="0.25">
      <c r="A882">
        <v>5725327</v>
      </c>
      <c r="B882" t="s">
        <v>4117</v>
      </c>
      <c r="C882" t="str">
        <f>"9781783746569"</f>
        <v>9781783746569</v>
      </c>
      <c r="D882" t="str">
        <f>"9781783746576"</f>
        <v>9781783746576</v>
      </c>
      <c r="E882" t="s">
        <v>2270</v>
      </c>
      <c r="F882" s="1">
        <v>43529</v>
      </c>
      <c r="G882" t="s">
        <v>4118</v>
      </c>
      <c r="H882" t="s">
        <v>4119</v>
      </c>
      <c r="L882" t="s">
        <v>20</v>
      </c>
      <c r="M882" t="s">
        <v>4120</v>
      </c>
    </row>
    <row r="883" spans="1:13" x14ac:dyDescent="0.25">
      <c r="A883">
        <v>5725328</v>
      </c>
      <c r="B883" t="s">
        <v>4121</v>
      </c>
      <c r="C883" t="str">
        <f>"9781783745968"</f>
        <v>9781783745968</v>
      </c>
      <c r="D883" t="str">
        <f>"9781783745975"</f>
        <v>9781783745975</v>
      </c>
      <c r="E883" t="s">
        <v>2270</v>
      </c>
      <c r="F883" s="1">
        <v>43466</v>
      </c>
      <c r="G883" t="s">
        <v>4122</v>
      </c>
      <c r="H883" t="s">
        <v>363</v>
      </c>
      <c r="L883" t="s">
        <v>20</v>
      </c>
      <c r="M883" t="s">
        <v>4123</v>
      </c>
    </row>
    <row r="884" spans="1:13" x14ac:dyDescent="0.25">
      <c r="A884">
        <v>5725329</v>
      </c>
      <c r="B884" t="s">
        <v>4124</v>
      </c>
      <c r="C884" t="str">
        <f>"9781783745456"</f>
        <v>9781783745456</v>
      </c>
      <c r="D884" t="str">
        <f>"9781783745463"</f>
        <v>9781783745463</v>
      </c>
      <c r="E884" t="s">
        <v>2270</v>
      </c>
      <c r="F884" s="1">
        <v>43516</v>
      </c>
      <c r="G884" t="s">
        <v>4125</v>
      </c>
      <c r="H884" t="s">
        <v>64</v>
      </c>
      <c r="L884" t="s">
        <v>20</v>
      </c>
      <c r="M884" t="s">
        <v>4126</v>
      </c>
    </row>
    <row r="885" spans="1:13" x14ac:dyDescent="0.25">
      <c r="A885">
        <v>5727927</v>
      </c>
      <c r="B885" t="s">
        <v>4127</v>
      </c>
      <c r="C885" t="str">
        <f>""</f>
        <v/>
      </c>
      <c r="D885" t="str">
        <f>"9789048535200"</f>
        <v>9789048535200</v>
      </c>
      <c r="E885" t="s">
        <v>4128</v>
      </c>
      <c r="F885" s="1">
        <v>43466</v>
      </c>
      <c r="G885" t="s">
        <v>4129</v>
      </c>
      <c r="H885" t="s">
        <v>30</v>
      </c>
      <c r="J885">
        <v>323.04199999999997</v>
      </c>
      <c r="L885" t="s">
        <v>20</v>
      </c>
      <c r="M885" t="s">
        <v>4130</v>
      </c>
    </row>
    <row r="886" spans="1:13" x14ac:dyDescent="0.25">
      <c r="A886">
        <v>5734171</v>
      </c>
      <c r="B886" t="s">
        <v>4131</v>
      </c>
      <c r="C886" t="str">
        <f>"9782759229406"</f>
        <v>9782759229406</v>
      </c>
      <c r="D886" t="str">
        <f>"9782759229420"</f>
        <v>9782759229420</v>
      </c>
      <c r="E886" t="s">
        <v>2434</v>
      </c>
      <c r="F886" s="1">
        <v>43437</v>
      </c>
      <c r="G886" t="s">
        <v>4132</v>
      </c>
      <c r="H886" t="s">
        <v>83</v>
      </c>
      <c r="L886" t="s">
        <v>1279</v>
      </c>
      <c r="M886" t="s">
        <v>4133</v>
      </c>
    </row>
    <row r="887" spans="1:13" x14ac:dyDescent="0.25">
      <c r="A887">
        <v>5734172</v>
      </c>
      <c r="B887" t="s">
        <v>4134</v>
      </c>
      <c r="C887" t="str">
        <f>"9782759229192"</f>
        <v>9782759229192</v>
      </c>
      <c r="D887" t="str">
        <f>"9782759229208"</f>
        <v>9782759229208</v>
      </c>
      <c r="E887" t="s">
        <v>2434</v>
      </c>
      <c r="F887" s="1">
        <v>43468</v>
      </c>
      <c r="G887" t="s">
        <v>4135</v>
      </c>
      <c r="H887" t="s">
        <v>64</v>
      </c>
      <c r="L887" t="s">
        <v>1279</v>
      </c>
      <c r="M887" t="s">
        <v>4136</v>
      </c>
    </row>
    <row r="888" spans="1:13" x14ac:dyDescent="0.25">
      <c r="A888">
        <v>5734174</v>
      </c>
      <c r="B888" t="s">
        <v>4137</v>
      </c>
      <c r="C888" t="str">
        <f>"9782759229376"</f>
        <v>9782759229376</v>
      </c>
      <c r="D888" t="str">
        <f>"9782759229390"</f>
        <v>9782759229390</v>
      </c>
      <c r="E888" t="s">
        <v>2434</v>
      </c>
      <c r="F888" s="1">
        <v>43647</v>
      </c>
      <c r="G888" t="s">
        <v>4138</v>
      </c>
      <c r="H888" t="s">
        <v>83</v>
      </c>
      <c r="L888" t="s">
        <v>1279</v>
      </c>
      <c r="M888" t="s">
        <v>4139</v>
      </c>
    </row>
    <row r="889" spans="1:13" x14ac:dyDescent="0.25">
      <c r="A889">
        <v>5743235</v>
      </c>
      <c r="B889" t="s">
        <v>4140</v>
      </c>
      <c r="C889" t="str">
        <f>"9781618119513"</f>
        <v>9781618119513</v>
      </c>
      <c r="D889" t="str">
        <f>"9781618119520"</f>
        <v>9781618119520</v>
      </c>
      <c r="E889" t="s">
        <v>2224</v>
      </c>
      <c r="F889" s="1">
        <v>43553</v>
      </c>
      <c r="G889" t="s">
        <v>4141</v>
      </c>
      <c r="H889" t="s">
        <v>310</v>
      </c>
      <c r="I889" t="s">
        <v>4142</v>
      </c>
      <c r="J889">
        <v>221.601</v>
      </c>
      <c r="K889" t="s">
        <v>4143</v>
      </c>
      <c r="L889" t="s">
        <v>20</v>
      </c>
      <c r="M889" t="s">
        <v>4144</v>
      </c>
    </row>
    <row r="890" spans="1:13" x14ac:dyDescent="0.25">
      <c r="A890">
        <v>5750539</v>
      </c>
      <c r="B890" t="s">
        <v>4145</v>
      </c>
      <c r="C890" t="str">
        <f>"9783486704457"</f>
        <v>9783486704457</v>
      </c>
      <c r="D890" t="str">
        <f>"9783110446647"</f>
        <v>9783110446647</v>
      </c>
      <c r="E890" t="s">
        <v>350</v>
      </c>
      <c r="F890" s="1">
        <v>40835</v>
      </c>
      <c r="G890" t="s">
        <v>4146</v>
      </c>
      <c r="H890" t="s">
        <v>139</v>
      </c>
      <c r="L890" t="s">
        <v>291</v>
      </c>
      <c r="M890" t="s">
        <v>4147</v>
      </c>
    </row>
    <row r="891" spans="1:13" x14ac:dyDescent="0.25">
      <c r="A891">
        <v>5751614</v>
      </c>
      <c r="B891" t="s">
        <v>4148</v>
      </c>
      <c r="C891" t="str">
        <f>"9781783745500"</f>
        <v>9781783745500</v>
      </c>
      <c r="D891" t="str">
        <f>"9781783745517"</f>
        <v>9781783745517</v>
      </c>
      <c r="E891" t="s">
        <v>2270</v>
      </c>
      <c r="F891" s="1">
        <v>43557</v>
      </c>
      <c r="G891" t="s">
        <v>4149</v>
      </c>
      <c r="H891" t="s">
        <v>4150</v>
      </c>
      <c r="L891" t="s">
        <v>20</v>
      </c>
      <c r="M891" t="s">
        <v>4151</v>
      </c>
    </row>
    <row r="892" spans="1:13" x14ac:dyDescent="0.25">
      <c r="A892">
        <v>5751615</v>
      </c>
      <c r="B892" t="s">
        <v>4152</v>
      </c>
      <c r="C892" t="str">
        <f>"9781783745661"</f>
        <v>9781783745661</v>
      </c>
      <c r="D892" t="str">
        <f>"9781783745678"</f>
        <v>9781783745678</v>
      </c>
      <c r="E892" t="s">
        <v>2270</v>
      </c>
      <c r="F892" s="1">
        <v>43532</v>
      </c>
      <c r="G892" t="s">
        <v>4153</v>
      </c>
      <c r="H892" t="s">
        <v>64</v>
      </c>
      <c r="L892" t="s">
        <v>20</v>
      </c>
      <c r="M892" t="s">
        <v>4154</v>
      </c>
    </row>
    <row r="893" spans="1:13" x14ac:dyDescent="0.25">
      <c r="A893">
        <v>5751616</v>
      </c>
      <c r="B893" t="s">
        <v>4155</v>
      </c>
      <c r="C893" t="str">
        <f>"9781783746491"</f>
        <v>9781783746491</v>
      </c>
      <c r="D893" t="str">
        <f>"9781783746507"</f>
        <v>9781783746507</v>
      </c>
      <c r="E893" t="s">
        <v>2270</v>
      </c>
      <c r="F893" s="1">
        <v>43528</v>
      </c>
      <c r="G893" t="s">
        <v>4156</v>
      </c>
      <c r="H893" t="s">
        <v>4157</v>
      </c>
      <c r="L893" t="s">
        <v>20</v>
      </c>
      <c r="M893" t="s">
        <v>4158</v>
      </c>
    </row>
    <row r="894" spans="1:13" x14ac:dyDescent="0.25">
      <c r="A894">
        <v>5760554</v>
      </c>
      <c r="B894" t="s">
        <v>4159</v>
      </c>
      <c r="C894" t="str">
        <f>"9782759229918"</f>
        <v>9782759229918</v>
      </c>
      <c r="D894" t="str">
        <f>"9782759229925"</f>
        <v>9782759229925</v>
      </c>
      <c r="E894" t="s">
        <v>2434</v>
      </c>
      <c r="F894" s="1">
        <v>43647</v>
      </c>
      <c r="G894" t="s">
        <v>4160</v>
      </c>
      <c r="H894" t="s">
        <v>4161</v>
      </c>
      <c r="L894" t="s">
        <v>1279</v>
      </c>
      <c r="M894" t="s">
        <v>4162</v>
      </c>
    </row>
    <row r="895" spans="1:13" x14ac:dyDescent="0.25">
      <c r="A895">
        <v>5769487</v>
      </c>
      <c r="B895" t="s">
        <v>4163</v>
      </c>
      <c r="C895" t="str">
        <f>"9783110576016"</f>
        <v>9783110576016</v>
      </c>
      <c r="D895" t="str">
        <f>"9783110576092"</f>
        <v>9783110576092</v>
      </c>
      <c r="E895" t="s">
        <v>350</v>
      </c>
      <c r="F895" s="1">
        <v>43300</v>
      </c>
      <c r="G895" t="s">
        <v>4164</v>
      </c>
      <c r="H895" t="s">
        <v>139</v>
      </c>
      <c r="L895" t="s">
        <v>20</v>
      </c>
      <c r="M895" t="s">
        <v>4165</v>
      </c>
    </row>
    <row r="896" spans="1:13" x14ac:dyDescent="0.25">
      <c r="A896">
        <v>5771514</v>
      </c>
      <c r="B896" t="s">
        <v>4166</v>
      </c>
      <c r="C896" t="str">
        <f>"9781783746620"</f>
        <v>9781783746620</v>
      </c>
      <c r="D896" t="str">
        <f>"9781783746637"</f>
        <v>9781783746637</v>
      </c>
      <c r="E896" t="s">
        <v>2270</v>
      </c>
      <c r="F896" s="1">
        <v>43573</v>
      </c>
      <c r="G896" t="s">
        <v>4167</v>
      </c>
      <c r="H896" t="s">
        <v>70</v>
      </c>
      <c r="L896" t="s">
        <v>20</v>
      </c>
      <c r="M896" t="s">
        <v>4168</v>
      </c>
    </row>
    <row r="897" spans="1:13" x14ac:dyDescent="0.25">
      <c r="A897">
        <v>5771515</v>
      </c>
      <c r="B897" t="s">
        <v>4169</v>
      </c>
      <c r="C897" t="str">
        <f>"9781783747276"</f>
        <v>9781783747276</v>
      </c>
      <c r="D897" t="str">
        <f>"9781783747283"</f>
        <v>9781783747283</v>
      </c>
      <c r="E897" t="s">
        <v>2270</v>
      </c>
      <c r="F897" s="1">
        <v>43585</v>
      </c>
      <c r="G897" t="s">
        <v>4170</v>
      </c>
      <c r="H897" t="s">
        <v>246</v>
      </c>
      <c r="L897" t="s">
        <v>20</v>
      </c>
      <c r="M897" t="s">
        <v>4171</v>
      </c>
    </row>
    <row r="898" spans="1:13" x14ac:dyDescent="0.25">
      <c r="A898">
        <v>5772835</v>
      </c>
      <c r="B898" t="s">
        <v>4172</v>
      </c>
      <c r="C898" t="str">
        <f>"9783110549508"</f>
        <v>9783110549508</v>
      </c>
      <c r="D898" t="str">
        <f>"9783110549683"</f>
        <v>9783110549683</v>
      </c>
      <c r="E898" t="s">
        <v>350</v>
      </c>
      <c r="F898" s="1">
        <v>43591</v>
      </c>
      <c r="G898" t="s">
        <v>4173</v>
      </c>
      <c r="H898" t="s">
        <v>139</v>
      </c>
      <c r="L898" t="s">
        <v>291</v>
      </c>
      <c r="M898" t="s">
        <v>4174</v>
      </c>
    </row>
    <row r="899" spans="1:13" x14ac:dyDescent="0.25">
      <c r="A899">
        <v>5781361</v>
      </c>
      <c r="B899" t="s">
        <v>4175</v>
      </c>
      <c r="C899" t="str">
        <f>"9781783747399"</f>
        <v>9781783747399</v>
      </c>
      <c r="D899" t="str">
        <f>"9781783747405"</f>
        <v>9781783747405</v>
      </c>
      <c r="E899" t="s">
        <v>2270</v>
      </c>
      <c r="F899" s="1">
        <v>43606</v>
      </c>
      <c r="G899" t="s">
        <v>4176</v>
      </c>
      <c r="H899" t="s">
        <v>70</v>
      </c>
      <c r="L899" t="s">
        <v>20</v>
      </c>
      <c r="M899" t="s">
        <v>4177</v>
      </c>
    </row>
    <row r="900" spans="1:13" x14ac:dyDescent="0.25">
      <c r="A900">
        <v>5788944</v>
      </c>
      <c r="B900" t="s">
        <v>4178</v>
      </c>
      <c r="C900" t="str">
        <f>"9783030053178"</f>
        <v>9783030053178</v>
      </c>
      <c r="D900" t="str">
        <f>"9783030053185"</f>
        <v>9783030053185</v>
      </c>
      <c r="E900" t="s">
        <v>2905</v>
      </c>
      <c r="F900" s="1">
        <v>43613</v>
      </c>
      <c r="G900" t="s">
        <v>4179</v>
      </c>
      <c r="H900" t="s">
        <v>4180</v>
      </c>
      <c r="I900" t="s">
        <v>4181</v>
      </c>
      <c r="L900" t="s">
        <v>20</v>
      </c>
      <c r="M900" t="s">
        <v>4182</v>
      </c>
    </row>
    <row r="901" spans="1:13" x14ac:dyDescent="0.25">
      <c r="A901">
        <v>5796132</v>
      </c>
      <c r="B901" t="s">
        <v>4183</v>
      </c>
      <c r="C901" t="str">
        <f>"9782759229970"</f>
        <v>9782759229970</v>
      </c>
      <c r="D901" t="str">
        <f>"9782759229987"</f>
        <v>9782759229987</v>
      </c>
      <c r="E901" t="s">
        <v>2434</v>
      </c>
      <c r="F901" s="1">
        <v>43636</v>
      </c>
      <c r="G901" t="s">
        <v>4184</v>
      </c>
      <c r="H901" t="s">
        <v>1283</v>
      </c>
      <c r="L901" t="s">
        <v>1279</v>
      </c>
      <c r="M901" t="s">
        <v>4185</v>
      </c>
    </row>
    <row r="902" spans="1:13" x14ac:dyDescent="0.25">
      <c r="A902">
        <v>5796134</v>
      </c>
      <c r="B902" t="s">
        <v>4186</v>
      </c>
      <c r="C902" t="str">
        <f>"9782759230563"</f>
        <v>9782759230563</v>
      </c>
      <c r="D902" t="str">
        <f>"9782759230570"</f>
        <v>9782759230570</v>
      </c>
      <c r="E902" t="s">
        <v>2434</v>
      </c>
      <c r="F902" s="1">
        <v>43641</v>
      </c>
      <c r="G902" t="s">
        <v>4187</v>
      </c>
      <c r="L902" t="s">
        <v>20</v>
      </c>
      <c r="M902" t="s">
        <v>4188</v>
      </c>
    </row>
    <row r="903" spans="1:13" x14ac:dyDescent="0.25">
      <c r="A903">
        <v>5797730</v>
      </c>
      <c r="B903" t="s">
        <v>4189</v>
      </c>
      <c r="C903" t="str">
        <f>"9781783747450"</f>
        <v>9781783747450</v>
      </c>
      <c r="D903" t="str">
        <f>"9781783747467"</f>
        <v>9781783747467</v>
      </c>
      <c r="E903" t="s">
        <v>2270</v>
      </c>
      <c r="F903" s="1">
        <v>43633</v>
      </c>
      <c r="G903" t="s">
        <v>4190</v>
      </c>
      <c r="H903" t="s">
        <v>139</v>
      </c>
      <c r="L903" t="s">
        <v>20</v>
      </c>
      <c r="M903" t="s">
        <v>4191</v>
      </c>
    </row>
    <row r="904" spans="1:13" x14ac:dyDescent="0.25">
      <c r="A904">
        <v>5797745</v>
      </c>
      <c r="B904" t="s">
        <v>4192</v>
      </c>
      <c r="C904" t="str">
        <f>"9781783746699"</f>
        <v>9781783746699</v>
      </c>
      <c r="D904" t="str">
        <f>"9781783746705"</f>
        <v>9781783746705</v>
      </c>
      <c r="E904" t="s">
        <v>2270</v>
      </c>
      <c r="F904" s="1">
        <v>43646</v>
      </c>
      <c r="G904" t="s">
        <v>4193</v>
      </c>
      <c r="H904" t="s">
        <v>4194</v>
      </c>
      <c r="L904" t="s">
        <v>20</v>
      </c>
      <c r="M904" t="s">
        <v>4195</v>
      </c>
    </row>
    <row r="905" spans="1:13" x14ac:dyDescent="0.25">
      <c r="A905">
        <v>5811413</v>
      </c>
      <c r="B905" t="s">
        <v>4196</v>
      </c>
      <c r="C905" t="str">
        <f>"9781783747009"</f>
        <v>9781783747009</v>
      </c>
      <c r="D905" t="str">
        <f>"9781783747016"</f>
        <v>9781783747016</v>
      </c>
      <c r="E905" t="s">
        <v>2270</v>
      </c>
      <c r="F905" s="1">
        <v>43627</v>
      </c>
      <c r="G905" t="s">
        <v>4197</v>
      </c>
      <c r="H905" t="s">
        <v>1178</v>
      </c>
      <c r="L905" t="s">
        <v>20</v>
      </c>
      <c r="M905" t="s">
        <v>4198</v>
      </c>
    </row>
    <row r="906" spans="1:13" x14ac:dyDescent="0.25">
      <c r="A906">
        <v>5838458</v>
      </c>
      <c r="B906" t="s">
        <v>4199</v>
      </c>
      <c r="C906" t="str">
        <f>"9781783745173"</f>
        <v>9781783745173</v>
      </c>
      <c r="D906" t="str">
        <f>"9781783745180"</f>
        <v>9781783745180</v>
      </c>
      <c r="E906" t="s">
        <v>2270</v>
      </c>
      <c r="F906" s="1">
        <v>43641</v>
      </c>
      <c r="G906" t="s">
        <v>3300</v>
      </c>
      <c r="H906" t="s">
        <v>70</v>
      </c>
      <c r="L906" t="s">
        <v>20</v>
      </c>
      <c r="M906" t="s">
        <v>4200</v>
      </c>
    </row>
    <row r="907" spans="1:13" x14ac:dyDescent="0.25">
      <c r="A907">
        <v>5838459</v>
      </c>
      <c r="B907" t="s">
        <v>4201</v>
      </c>
      <c r="C907" t="str">
        <f>"9781783747115"</f>
        <v>9781783747115</v>
      </c>
      <c r="D907" t="str">
        <f>"9781783747122"</f>
        <v>9781783747122</v>
      </c>
      <c r="E907" t="s">
        <v>2270</v>
      </c>
      <c r="F907" s="1">
        <v>43647</v>
      </c>
      <c r="G907" t="s">
        <v>4202</v>
      </c>
      <c r="H907" t="s">
        <v>70</v>
      </c>
      <c r="L907" t="s">
        <v>20</v>
      </c>
      <c r="M907" t="s">
        <v>4203</v>
      </c>
    </row>
    <row r="908" spans="1:13" x14ac:dyDescent="0.25">
      <c r="A908">
        <v>5846456</v>
      </c>
      <c r="B908" t="s">
        <v>4204</v>
      </c>
      <c r="C908" t="str">
        <f>"9781783740239"</f>
        <v>9781783740239</v>
      </c>
      <c r="D908" t="str">
        <f>"9781783740246"</f>
        <v>9781783740246</v>
      </c>
      <c r="E908" t="s">
        <v>2270</v>
      </c>
      <c r="F908" s="1">
        <v>43654</v>
      </c>
      <c r="G908" t="s">
        <v>4205</v>
      </c>
      <c r="H908" t="s">
        <v>4206</v>
      </c>
      <c r="L908" t="s">
        <v>20</v>
      </c>
      <c r="M908" t="s">
        <v>4207</v>
      </c>
    </row>
    <row r="909" spans="1:13" x14ac:dyDescent="0.25">
      <c r="A909">
        <v>5855006</v>
      </c>
      <c r="B909" t="s">
        <v>4208</v>
      </c>
      <c r="C909" t="str">
        <f>"9783110567304"</f>
        <v>9783110567304</v>
      </c>
      <c r="D909" t="str">
        <f>"9783110567311"</f>
        <v>9783110567311</v>
      </c>
      <c r="E909" t="s">
        <v>350</v>
      </c>
      <c r="F909" s="1">
        <v>43333</v>
      </c>
      <c r="G909" t="s">
        <v>4209</v>
      </c>
      <c r="H909" t="s">
        <v>4210</v>
      </c>
      <c r="L909" t="s">
        <v>20</v>
      </c>
      <c r="M909" t="s">
        <v>4211</v>
      </c>
    </row>
    <row r="910" spans="1:13" x14ac:dyDescent="0.25">
      <c r="A910">
        <v>5855100</v>
      </c>
      <c r="B910" t="s">
        <v>4212</v>
      </c>
      <c r="C910" t="str">
        <f>"9783110567328"</f>
        <v>9783110567328</v>
      </c>
      <c r="D910" t="str">
        <f>"9783110567496"</f>
        <v>9783110567496</v>
      </c>
      <c r="E910" t="s">
        <v>350</v>
      </c>
      <c r="F910" s="1">
        <v>43230</v>
      </c>
      <c r="G910" t="s">
        <v>4213</v>
      </c>
      <c r="H910" t="s">
        <v>806</v>
      </c>
      <c r="L910" t="s">
        <v>20</v>
      </c>
      <c r="M910" t="s">
        <v>4214</v>
      </c>
    </row>
    <row r="911" spans="1:13" x14ac:dyDescent="0.25">
      <c r="A911">
        <v>5855105</v>
      </c>
      <c r="B911" t="s">
        <v>4215</v>
      </c>
      <c r="C911" t="str">
        <f>"9783110571202"</f>
        <v>9783110571202</v>
      </c>
      <c r="D911" t="str">
        <f>"9783110571219"</f>
        <v>9783110571219</v>
      </c>
      <c r="E911" t="s">
        <v>350</v>
      </c>
      <c r="F911" s="1">
        <v>43406</v>
      </c>
      <c r="G911" t="s">
        <v>4216</v>
      </c>
      <c r="H911" t="s">
        <v>16</v>
      </c>
      <c r="J911">
        <v>174.95709400000001</v>
      </c>
      <c r="L911" t="s">
        <v>20</v>
      </c>
      <c r="M911" t="s">
        <v>4217</v>
      </c>
    </row>
    <row r="912" spans="1:13" x14ac:dyDescent="0.25">
      <c r="A912">
        <v>5855371</v>
      </c>
      <c r="B912" t="s">
        <v>4218</v>
      </c>
      <c r="C912" t="str">
        <f>"9783110571233"</f>
        <v>9783110571233</v>
      </c>
      <c r="D912" t="str">
        <f>"9783110571240"</f>
        <v>9783110571240</v>
      </c>
      <c r="E912" t="s">
        <v>350</v>
      </c>
      <c r="F912" s="1">
        <v>43100</v>
      </c>
      <c r="G912" t="s">
        <v>4219</v>
      </c>
      <c r="H912" t="s">
        <v>1056</v>
      </c>
      <c r="J912" t="s">
        <v>4220</v>
      </c>
      <c r="L912" t="s">
        <v>20</v>
      </c>
      <c r="M912" t="s">
        <v>4221</v>
      </c>
    </row>
    <row r="913" spans="1:13" x14ac:dyDescent="0.25">
      <c r="A913">
        <v>5879741</v>
      </c>
      <c r="B913" t="s">
        <v>4222</v>
      </c>
      <c r="C913" t="str">
        <f>"9781783747054"</f>
        <v>9781783747054</v>
      </c>
      <c r="D913" t="str">
        <f>"9781783747061"</f>
        <v>9781783747061</v>
      </c>
      <c r="E913" t="s">
        <v>2270</v>
      </c>
      <c r="F913" s="1">
        <v>43682</v>
      </c>
      <c r="G913" t="s">
        <v>4223</v>
      </c>
      <c r="H913" t="s">
        <v>4224</v>
      </c>
      <c r="L913" t="s">
        <v>20</v>
      </c>
      <c r="M913" t="s">
        <v>4225</v>
      </c>
    </row>
    <row r="914" spans="1:13" x14ac:dyDescent="0.25">
      <c r="A914">
        <v>5896598</v>
      </c>
      <c r="B914" t="s">
        <v>4226</v>
      </c>
      <c r="C914" t="str">
        <f>"9781783747511"</f>
        <v>9781783747511</v>
      </c>
      <c r="D914" t="str">
        <f>"9781783747528"</f>
        <v>9781783747528</v>
      </c>
      <c r="E914" t="s">
        <v>2270</v>
      </c>
      <c r="F914" s="1">
        <v>43704</v>
      </c>
      <c r="G914" t="s">
        <v>4227</v>
      </c>
      <c r="H914" t="s">
        <v>4228</v>
      </c>
      <c r="L914" t="s">
        <v>20</v>
      </c>
      <c r="M914" t="s">
        <v>4229</v>
      </c>
    </row>
    <row r="915" spans="1:13" x14ac:dyDescent="0.25">
      <c r="A915">
        <v>5909950</v>
      </c>
      <c r="B915" t="s">
        <v>4230</v>
      </c>
      <c r="C915" t="str">
        <f>"9781783747573"</f>
        <v>9781783747573</v>
      </c>
      <c r="D915" t="str">
        <f>"9781783747580"</f>
        <v>9781783747580</v>
      </c>
      <c r="E915" t="s">
        <v>2270</v>
      </c>
      <c r="F915" s="1">
        <v>43707</v>
      </c>
      <c r="G915" t="s">
        <v>2324</v>
      </c>
      <c r="H915" t="s">
        <v>4231</v>
      </c>
      <c r="L915" t="s">
        <v>20</v>
      </c>
      <c r="M915" t="s">
        <v>4232</v>
      </c>
    </row>
    <row r="916" spans="1:13" x14ac:dyDescent="0.25">
      <c r="A916">
        <v>5921930</v>
      </c>
      <c r="B916" t="s">
        <v>4233</v>
      </c>
      <c r="C916" t="str">
        <f>"9783030184797"</f>
        <v>9783030184797</v>
      </c>
      <c r="D916" t="str">
        <f>"9783030184803"</f>
        <v>9783030184803</v>
      </c>
      <c r="E916" t="s">
        <v>2905</v>
      </c>
      <c r="F916" s="1">
        <v>43662</v>
      </c>
      <c r="G916" t="s">
        <v>4234</v>
      </c>
      <c r="H916" t="s">
        <v>363</v>
      </c>
      <c r="I916" t="s">
        <v>4235</v>
      </c>
      <c r="L916" t="s">
        <v>20</v>
      </c>
      <c r="M916" t="s">
        <v>4236</v>
      </c>
    </row>
    <row r="917" spans="1:13" x14ac:dyDescent="0.25">
      <c r="A917">
        <v>5922126</v>
      </c>
      <c r="B917" t="s">
        <v>4237</v>
      </c>
      <c r="C917" t="str">
        <f>"9789811311895"</f>
        <v>9789811311895</v>
      </c>
      <c r="D917" t="str">
        <f>"9789811311901"</f>
        <v>9789811311901</v>
      </c>
      <c r="E917" t="s">
        <v>4099</v>
      </c>
      <c r="F917" s="1">
        <v>43501</v>
      </c>
      <c r="G917" t="s">
        <v>4238</v>
      </c>
      <c r="H917" t="s">
        <v>64</v>
      </c>
      <c r="I917" t="s">
        <v>4239</v>
      </c>
      <c r="J917">
        <v>307.10939999999999</v>
      </c>
      <c r="L917" t="s">
        <v>20</v>
      </c>
      <c r="M917" t="s">
        <v>4240</v>
      </c>
    </row>
    <row r="918" spans="1:13" x14ac:dyDescent="0.25">
      <c r="A918">
        <v>5945037</v>
      </c>
      <c r="B918" t="s">
        <v>4241</v>
      </c>
      <c r="C918" t="str">
        <f>"9781783747986"</f>
        <v>9781783747986</v>
      </c>
      <c r="D918" t="str">
        <f>"9781783747993"</f>
        <v>9781783747993</v>
      </c>
      <c r="E918" t="s">
        <v>2270</v>
      </c>
      <c r="F918" s="1">
        <v>43739</v>
      </c>
      <c r="G918" t="s">
        <v>4242</v>
      </c>
      <c r="H918" t="s">
        <v>4243</v>
      </c>
      <c r="L918" t="s">
        <v>20</v>
      </c>
      <c r="M918" t="s">
        <v>4244</v>
      </c>
    </row>
    <row r="919" spans="1:13" x14ac:dyDescent="0.25">
      <c r="A919">
        <v>5945038</v>
      </c>
      <c r="B919" t="s">
        <v>4245</v>
      </c>
      <c r="C919" t="str">
        <f>"9781783747801"</f>
        <v>9781783747801</v>
      </c>
      <c r="D919" t="str">
        <f>"9781783747818"</f>
        <v>9781783747818</v>
      </c>
      <c r="E919" t="s">
        <v>2270</v>
      </c>
      <c r="F919" s="1">
        <v>43740</v>
      </c>
      <c r="G919" t="s">
        <v>4246</v>
      </c>
      <c r="H919" t="s">
        <v>4206</v>
      </c>
      <c r="L919" t="s">
        <v>20</v>
      </c>
      <c r="M919" t="s">
        <v>4247</v>
      </c>
    </row>
    <row r="920" spans="1:13" x14ac:dyDescent="0.25">
      <c r="A920">
        <v>5968193</v>
      </c>
      <c r="B920" t="s">
        <v>3089</v>
      </c>
      <c r="C920" t="str">
        <f>"9781783747764"</f>
        <v>9781783747764</v>
      </c>
      <c r="D920" t="str">
        <f>"9781783747771"</f>
        <v>9781783747771</v>
      </c>
      <c r="E920" t="s">
        <v>2270</v>
      </c>
      <c r="F920" s="1">
        <v>43754</v>
      </c>
      <c r="G920" t="s">
        <v>3090</v>
      </c>
      <c r="H920" t="s">
        <v>1178</v>
      </c>
      <c r="L920" t="s">
        <v>20</v>
      </c>
      <c r="M920" t="s">
        <v>4248</v>
      </c>
    </row>
    <row r="921" spans="1:13" x14ac:dyDescent="0.25">
      <c r="A921">
        <v>5969374</v>
      </c>
      <c r="B921" t="s">
        <v>4249</v>
      </c>
      <c r="C921" t="str">
        <f>"9783030216283"</f>
        <v>9783030216283</v>
      </c>
      <c r="D921" t="str">
        <f>"9783030216290"</f>
        <v>9783030216290</v>
      </c>
      <c r="E921" t="s">
        <v>2905</v>
      </c>
      <c r="F921" s="1">
        <v>43791</v>
      </c>
      <c r="G921" t="s">
        <v>4250</v>
      </c>
      <c r="H921" t="s">
        <v>30</v>
      </c>
      <c r="I921" t="s">
        <v>4251</v>
      </c>
      <c r="J921">
        <v>320.60939999999999</v>
      </c>
      <c r="L921" t="s">
        <v>20</v>
      </c>
      <c r="M921" t="s">
        <v>4252</v>
      </c>
    </row>
    <row r="922" spans="1:13" x14ac:dyDescent="0.25">
      <c r="A922">
        <v>5974959</v>
      </c>
      <c r="B922" t="s">
        <v>4253</v>
      </c>
      <c r="C922" t="str">
        <f>"9789811384363"</f>
        <v>9789811384363</v>
      </c>
      <c r="D922" t="str">
        <f>"9789811384370"</f>
        <v>9789811384370</v>
      </c>
      <c r="E922" t="s">
        <v>4099</v>
      </c>
      <c r="F922" s="1">
        <v>43788</v>
      </c>
      <c r="G922" t="s">
        <v>4254</v>
      </c>
      <c r="H922" t="s">
        <v>1624</v>
      </c>
      <c r="I922" t="s">
        <v>4255</v>
      </c>
      <c r="J922">
        <v>362.19685881999999</v>
      </c>
      <c r="L922" t="s">
        <v>20</v>
      </c>
      <c r="M922" t="s">
        <v>4256</v>
      </c>
    </row>
    <row r="923" spans="1:13" x14ac:dyDescent="0.25">
      <c r="A923">
        <v>5994469</v>
      </c>
      <c r="B923" t="s">
        <v>4257</v>
      </c>
      <c r="C923" t="str">
        <f>"9781783748105"</f>
        <v>9781783748105</v>
      </c>
      <c r="D923" t="str">
        <f>"9781783748112"</f>
        <v>9781783748112</v>
      </c>
      <c r="E923" t="s">
        <v>2270</v>
      </c>
      <c r="F923" s="1">
        <v>43797</v>
      </c>
      <c r="G923" t="s">
        <v>4258</v>
      </c>
      <c r="H923" t="s">
        <v>4259</v>
      </c>
      <c r="L923" t="s">
        <v>20</v>
      </c>
      <c r="M923" t="s">
        <v>4260</v>
      </c>
    </row>
    <row r="924" spans="1:13" x14ac:dyDescent="0.25">
      <c r="A924">
        <v>5994470</v>
      </c>
      <c r="B924" t="s">
        <v>4261</v>
      </c>
      <c r="C924" t="str">
        <f>"9781783748648"</f>
        <v>9781783748648</v>
      </c>
      <c r="D924" t="str">
        <f>"9781783748655"</f>
        <v>9781783748655</v>
      </c>
      <c r="E924" t="s">
        <v>2270</v>
      </c>
      <c r="F924" s="1">
        <v>43801</v>
      </c>
      <c r="G924" t="s">
        <v>4262</v>
      </c>
      <c r="H924" t="s">
        <v>266</v>
      </c>
      <c r="L924" t="s">
        <v>20</v>
      </c>
      <c r="M924" t="s">
        <v>4263</v>
      </c>
    </row>
    <row r="925" spans="1:13" x14ac:dyDescent="0.25">
      <c r="A925">
        <v>6020769</v>
      </c>
      <c r="B925" t="s">
        <v>4264</v>
      </c>
      <c r="C925" t="str">
        <f>"9781783748280"</f>
        <v>9781783748280</v>
      </c>
      <c r="D925" t="str">
        <f>"9781783748297"</f>
        <v>9781783748297</v>
      </c>
      <c r="E925" t="s">
        <v>2270</v>
      </c>
      <c r="F925" s="1">
        <v>43809</v>
      </c>
      <c r="G925" t="s">
        <v>4265</v>
      </c>
      <c r="H925" t="s">
        <v>70</v>
      </c>
      <c r="L925" t="s">
        <v>20</v>
      </c>
      <c r="M925" t="s">
        <v>4266</v>
      </c>
    </row>
    <row r="926" spans="1:13" x14ac:dyDescent="0.25">
      <c r="A926">
        <v>6021009</v>
      </c>
      <c r="B926" t="s">
        <v>4267</v>
      </c>
      <c r="C926" t="str">
        <f>"9781783747924"</f>
        <v>9781783747924</v>
      </c>
      <c r="D926" t="str">
        <f>"9781783747931"</f>
        <v>9781783747931</v>
      </c>
      <c r="E926" t="s">
        <v>2270</v>
      </c>
      <c r="F926" s="1">
        <v>43804</v>
      </c>
      <c r="G926" t="s">
        <v>4268</v>
      </c>
      <c r="H926" t="s">
        <v>4269</v>
      </c>
      <c r="L926" t="s">
        <v>20</v>
      </c>
      <c r="M926" t="s">
        <v>4270</v>
      </c>
    </row>
    <row r="927" spans="1:13" x14ac:dyDescent="0.25">
      <c r="A927">
        <v>6111529</v>
      </c>
      <c r="B927" t="s">
        <v>4271</v>
      </c>
      <c r="C927" t="str">
        <f>"9783030367138"</f>
        <v>9783030367138</v>
      </c>
      <c r="D927" t="str">
        <f>"9783030367145"</f>
        <v>9783030367145</v>
      </c>
      <c r="E927" t="s">
        <v>2905</v>
      </c>
      <c r="F927" s="1">
        <v>43834</v>
      </c>
      <c r="G927" t="s">
        <v>4272</v>
      </c>
      <c r="H927" t="s">
        <v>1178</v>
      </c>
      <c r="I927" t="s">
        <v>4273</v>
      </c>
      <c r="L927" t="s">
        <v>20</v>
      </c>
      <c r="M927" t="s">
        <v>4274</v>
      </c>
    </row>
    <row r="928" spans="1:13" x14ac:dyDescent="0.25">
      <c r="A928">
        <v>6113652</v>
      </c>
      <c r="B928" t="s">
        <v>4275</v>
      </c>
      <c r="C928" t="str">
        <f>"9783030168766"</f>
        <v>9783030168766</v>
      </c>
      <c r="D928" t="str">
        <f>"9783030168773"</f>
        <v>9783030168773</v>
      </c>
      <c r="E928" t="s">
        <v>2905</v>
      </c>
      <c r="F928" s="1">
        <v>43780</v>
      </c>
      <c r="G928" t="s">
        <v>4276</v>
      </c>
      <c r="H928" t="s">
        <v>4277</v>
      </c>
      <c r="I928" t="s">
        <v>4278</v>
      </c>
      <c r="J928">
        <v>4.0151000000000003</v>
      </c>
      <c r="L928" t="s">
        <v>20</v>
      </c>
      <c r="M928" t="s">
        <v>4279</v>
      </c>
    </row>
    <row r="929" spans="1:13" x14ac:dyDescent="0.25">
      <c r="A929">
        <v>6119556</v>
      </c>
      <c r="B929" t="s">
        <v>4280</v>
      </c>
      <c r="C929" t="str">
        <f>"9781783746767"</f>
        <v>9781783746767</v>
      </c>
      <c r="D929" t="str">
        <f>"9781783746774"</f>
        <v>9781783746774</v>
      </c>
      <c r="E929" t="s">
        <v>2270</v>
      </c>
      <c r="F929" s="1">
        <v>43858</v>
      </c>
      <c r="G929" t="s">
        <v>4281</v>
      </c>
      <c r="H929" t="s">
        <v>851</v>
      </c>
      <c r="J929">
        <v>492.4</v>
      </c>
      <c r="L929" t="s">
        <v>20</v>
      </c>
      <c r="M929" t="s">
        <v>4282</v>
      </c>
    </row>
    <row r="930" spans="1:13" x14ac:dyDescent="0.25">
      <c r="A930">
        <v>6119557</v>
      </c>
      <c r="B930" t="s">
        <v>4283</v>
      </c>
      <c r="C930" t="str">
        <f>"9781783748587"</f>
        <v>9781783748587</v>
      </c>
      <c r="D930" t="str">
        <f>"9781783748594"</f>
        <v>9781783748594</v>
      </c>
      <c r="E930" t="s">
        <v>2270</v>
      </c>
      <c r="F930" s="1">
        <v>43859</v>
      </c>
      <c r="G930" t="s">
        <v>4281</v>
      </c>
      <c r="H930" t="s">
        <v>851</v>
      </c>
      <c r="J930">
        <v>492.4</v>
      </c>
      <c r="L930" t="s">
        <v>20</v>
      </c>
      <c r="M930" t="s">
        <v>4284</v>
      </c>
    </row>
    <row r="931" spans="1:13" x14ac:dyDescent="0.25">
      <c r="A931">
        <v>6122290</v>
      </c>
      <c r="B931" t="s">
        <v>4285</v>
      </c>
      <c r="C931" t="str">
        <f>"9781783748402"</f>
        <v>9781783748402</v>
      </c>
      <c r="D931" t="str">
        <f>"9781783748419"</f>
        <v>9781783748419</v>
      </c>
      <c r="E931" t="s">
        <v>2270</v>
      </c>
      <c r="F931" s="1">
        <v>43845</v>
      </c>
      <c r="G931" t="s">
        <v>4286</v>
      </c>
      <c r="H931" t="s">
        <v>4287</v>
      </c>
      <c r="L931" t="s">
        <v>20</v>
      </c>
      <c r="M931" t="s">
        <v>4288</v>
      </c>
    </row>
    <row r="932" spans="1:13" x14ac:dyDescent="0.25">
      <c r="A932">
        <v>6132344</v>
      </c>
      <c r="B932" t="s">
        <v>4289</v>
      </c>
      <c r="C932" t="str">
        <f>"9781789620177"</f>
        <v>9781789620177</v>
      </c>
      <c r="D932" t="str">
        <f>"9781789624342"</f>
        <v>9781789624342</v>
      </c>
      <c r="E932" t="s">
        <v>4290</v>
      </c>
      <c r="F932" s="1">
        <v>43782</v>
      </c>
      <c r="G932" t="s">
        <v>4291</v>
      </c>
      <c r="H932" t="s">
        <v>70</v>
      </c>
      <c r="J932" t="s">
        <v>4292</v>
      </c>
      <c r="L932" t="s">
        <v>20</v>
      </c>
      <c r="M932" t="s">
        <v>4293</v>
      </c>
    </row>
    <row r="933" spans="1:13" x14ac:dyDescent="0.25">
      <c r="A933">
        <v>6132349</v>
      </c>
      <c r="B933" t="s">
        <v>4294</v>
      </c>
      <c r="C933" t="str">
        <f>"9781789620801"</f>
        <v>9781789620801</v>
      </c>
      <c r="D933" t="str">
        <f>"9781789624915"</f>
        <v>9781789624915</v>
      </c>
      <c r="E933" t="s">
        <v>4290</v>
      </c>
      <c r="F933" s="1">
        <v>43830</v>
      </c>
      <c r="G933" t="s">
        <v>4295</v>
      </c>
      <c r="H933" t="s">
        <v>2368</v>
      </c>
      <c r="J933">
        <v>331.88162510943999</v>
      </c>
      <c r="L933" t="s">
        <v>20</v>
      </c>
      <c r="M933" t="s">
        <v>4296</v>
      </c>
    </row>
    <row r="934" spans="1:13" x14ac:dyDescent="0.25">
      <c r="A934">
        <v>6148188</v>
      </c>
      <c r="B934" t="s">
        <v>4297</v>
      </c>
      <c r="C934" t="str">
        <f>"9781783748884"</f>
        <v>9781783748884</v>
      </c>
      <c r="D934" t="str">
        <f>"9781783748891"</f>
        <v>9781783748891</v>
      </c>
      <c r="E934" t="s">
        <v>2270</v>
      </c>
      <c r="F934" s="1">
        <v>43902</v>
      </c>
      <c r="G934" t="s">
        <v>4298</v>
      </c>
      <c r="H934" t="s">
        <v>3289</v>
      </c>
      <c r="L934" t="s">
        <v>20</v>
      </c>
      <c r="M934" t="s">
        <v>4299</v>
      </c>
    </row>
    <row r="935" spans="1:13" x14ac:dyDescent="0.25">
      <c r="A935">
        <v>6151556</v>
      </c>
      <c r="B935" t="s">
        <v>4300</v>
      </c>
      <c r="C935" t="str">
        <f>"9781783749218"</f>
        <v>9781783749218</v>
      </c>
      <c r="D935" t="str">
        <f>"9781783749225"</f>
        <v>9781783749225</v>
      </c>
      <c r="E935" t="s">
        <v>2270</v>
      </c>
      <c r="F935" s="1">
        <v>43908</v>
      </c>
      <c r="G935" t="s">
        <v>4301</v>
      </c>
      <c r="H935" t="s">
        <v>2368</v>
      </c>
      <c r="L935" t="s">
        <v>20</v>
      </c>
      <c r="M935" t="s">
        <v>4302</v>
      </c>
    </row>
    <row r="936" spans="1:13" x14ac:dyDescent="0.25">
      <c r="A936">
        <v>6151557</v>
      </c>
      <c r="B936" t="s">
        <v>4303</v>
      </c>
      <c r="C936" t="str">
        <f>"9781783748938"</f>
        <v>9781783748938</v>
      </c>
      <c r="D936" t="str">
        <f>"9781783748945"</f>
        <v>9781783748945</v>
      </c>
      <c r="E936" t="s">
        <v>2270</v>
      </c>
      <c r="F936" s="1">
        <v>43908</v>
      </c>
      <c r="G936" t="s">
        <v>4301</v>
      </c>
      <c r="H936" t="s">
        <v>2368</v>
      </c>
      <c r="L936" t="s">
        <v>20</v>
      </c>
      <c r="M936" t="s">
        <v>4304</v>
      </c>
    </row>
    <row r="937" spans="1:13" x14ac:dyDescent="0.25">
      <c r="A937">
        <v>6154392</v>
      </c>
      <c r="B937" t="s">
        <v>4305</v>
      </c>
      <c r="C937" t="str">
        <f>"9781783748761"</f>
        <v>9781783748761</v>
      </c>
      <c r="D937" t="str">
        <f>"9781783748778"</f>
        <v>9781783748778</v>
      </c>
      <c r="E937" t="s">
        <v>2270</v>
      </c>
      <c r="F937" s="1">
        <v>43914</v>
      </c>
      <c r="G937" t="s">
        <v>4306</v>
      </c>
      <c r="H937" t="s">
        <v>16</v>
      </c>
      <c r="J937">
        <v>123.5</v>
      </c>
      <c r="L937" t="s">
        <v>20</v>
      </c>
      <c r="M937" t="s">
        <v>4307</v>
      </c>
    </row>
    <row r="938" spans="1:13" x14ac:dyDescent="0.25">
      <c r="A938">
        <v>6175848</v>
      </c>
      <c r="B938" t="s">
        <v>4308</v>
      </c>
      <c r="C938" t="str">
        <f>"9781783748709"</f>
        <v>9781783748709</v>
      </c>
      <c r="D938" t="str">
        <f>"9781783748716"</f>
        <v>9781783748716</v>
      </c>
      <c r="E938" t="s">
        <v>2270</v>
      </c>
      <c r="F938" s="1">
        <v>43923</v>
      </c>
      <c r="G938" t="s">
        <v>4092</v>
      </c>
      <c r="H938" t="s">
        <v>4309</v>
      </c>
      <c r="L938" t="s">
        <v>20</v>
      </c>
      <c r="M938" t="s">
        <v>4310</v>
      </c>
    </row>
    <row r="939" spans="1:13" x14ac:dyDescent="0.25">
      <c r="A939">
        <v>6179391</v>
      </c>
      <c r="B939" t="s">
        <v>4311</v>
      </c>
      <c r="C939" t="str">
        <f>"9780813590745"</f>
        <v>9780813590745</v>
      </c>
      <c r="D939" t="str">
        <f>"9780813590776"</f>
        <v>9780813590776</v>
      </c>
      <c r="E939" t="s">
        <v>264</v>
      </c>
      <c r="F939" s="1">
        <v>43994</v>
      </c>
      <c r="G939" t="s">
        <v>4312</v>
      </c>
      <c r="H939" t="s">
        <v>1624</v>
      </c>
      <c r="I939" t="s">
        <v>4313</v>
      </c>
      <c r="J939" t="s">
        <v>4314</v>
      </c>
      <c r="L939" t="s">
        <v>20</v>
      </c>
      <c r="M939" t="s">
        <v>4315</v>
      </c>
    </row>
    <row r="940" spans="1:13" x14ac:dyDescent="0.25">
      <c r="A940">
        <v>6184690</v>
      </c>
      <c r="B940" t="s">
        <v>4316</v>
      </c>
      <c r="C940" t="str">
        <f>"9781783748464"</f>
        <v>9781783748464</v>
      </c>
      <c r="D940" t="str">
        <f>"9781783748471"</f>
        <v>9781783748471</v>
      </c>
      <c r="E940" t="s">
        <v>2270</v>
      </c>
      <c r="F940" s="1">
        <v>43943</v>
      </c>
      <c r="G940" t="s">
        <v>4317</v>
      </c>
      <c r="H940" t="s">
        <v>83</v>
      </c>
      <c r="J940">
        <v>363.7</v>
      </c>
      <c r="L940" t="s">
        <v>20</v>
      </c>
      <c r="M940" t="s">
        <v>4318</v>
      </c>
    </row>
    <row r="941" spans="1:13" x14ac:dyDescent="0.25">
      <c r="A941">
        <v>6184691</v>
      </c>
      <c r="B941" t="s">
        <v>4319</v>
      </c>
      <c r="C941" t="str">
        <f>"9781783748822"</f>
        <v>9781783748822</v>
      </c>
      <c r="D941" t="str">
        <f>"9781783748839"</f>
        <v>9781783748839</v>
      </c>
      <c r="E941" t="s">
        <v>2270</v>
      </c>
      <c r="F941" s="1">
        <v>43931</v>
      </c>
      <c r="G941" t="s">
        <v>4320</v>
      </c>
      <c r="H941" t="s">
        <v>64</v>
      </c>
      <c r="J941">
        <v>305.42092000000002</v>
      </c>
      <c r="L941" t="s">
        <v>20</v>
      </c>
      <c r="M941" t="s">
        <v>4321</v>
      </c>
    </row>
    <row r="942" spans="1:13" x14ac:dyDescent="0.25">
      <c r="A942">
        <v>6207711</v>
      </c>
      <c r="B942" t="s">
        <v>4322</v>
      </c>
      <c r="C942" t="str">
        <f>"9781783749300"</f>
        <v>9781783749300</v>
      </c>
      <c r="D942" t="str">
        <f>"9781783749317"</f>
        <v>9781783749317</v>
      </c>
      <c r="E942" t="s">
        <v>2270</v>
      </c>
      <c r="F942" s="1">
        <v>43956</v>
      </c>
      <c r="G942" t="s">
        <v>4323</v>
      </c>
      <c r="H942" t="s">
        <v>851</v>
      </c>
      <c r="J942">
        <v>404.2</v>
      </c>
      <c r="L942" t="s">
        <v>20</v>
      </c>
      <c r="M942" t="s">
        <v>4324</v>
      </c>
    </row>
    <row r="943" spans="1:13" x14ac:dyDescent="0.25">
      <c r="A943">
        <v>6207712</v>
      </c>
      <c r="B943" t="s">
        <v>4325</v>
      </c>
      <c r="C943" t="str">
        <f>"9781783748044"</f>
        <v>9781783748044</v>
      </c>
      <c r="D943" t="str">
        <f>"9781783748051"</f>
        <v>9781783748051</v>
      </c>
      <c r="E943" t="s">
        <v>2270</v>
      </c>
      <c r="F943" s="1">
        <v>43943</v>
      </c>
      <c r="G943" t="s">
        <v>4326</v>
      </c>
      <c r="H943" t="s">
        <v>64</v>
      </c>
      <c r="J943">
        <v>304.2</v>
      </c>
      <c r="L943" t="s">
        <v>20</v>
      </c>
      <c r="M943" t="s">
        <v>4327</v>
      </c>
    </row>
    <row r="944" spans="1:13" x14ac:dyDescent="0.25">
      <c r="A944">
        <v>6207713</v>
      </c>
      <c r="B944" t="s">
        <v>4328</v>
      </c>
      <c r="C944" t="str">
        <f>"9781783746811"</f>
        <v>9781783746811</v>
      </c>
      <c r="D944" t="str">
        <f>"9781783746828"</f>
        <v>9781783746828</v>
      </c>
      <c r="E944" t="s">
        <v>2270</v>
      </c>
      <c r="F944" s="1">
        <v>43916</v>
      </c>
      <c r="G944" t="s">
        <v>4329</v>
      </c>
      <c r="H944" t="s">
        <v>4330</v>
      </c>
      <c r="L944" t="s">
        <v>20</v>
      </c>
      <c r="M944" t="s">
        <v>4331</v>
      </c>
    </row>
    <row r="945" spans="1:13" x14ac:dyDescent="0.25">
      <c r="A945">
        <v>6209771</v>
      </c>
      <c r="B945" t="s">
        <v>4332</v>
      </c>
      <c r="C945" t="str">
        <f>""</f>
        <v/>
      </c>
      <c r="D945" t="str">
        <f>"9783110634822"</f>
        <v>9783110634822</v>
      </c>
      <c r="E945" t="s">
        <v>350</v>
      </c>
      <c r="F945" s="1">
        <v>43801</v>
      </c>
      <c r="G945" t="s">
        <v>4333</v>
      </c>
      <c r="H945" t="s">
        <v>64</v>
      </c>
      <c r="J945">
        <v>305.89240480000001</v>
      </c>
      <c r="L945" t="s">
        <v>20</v>
      </c>
      <c r="M945" t="s">
        <v>4334</v>
      </c>
    </row>
    <row r="946" spans="1:13" x14ac:dyDescent="0.25">
      <c r="A946">
        <v>6209779</v>
      </c>
      <c r="B946" t="s">
        <v>4335</v>
      </c>
      <c r="C946" t="str">
        <f>"9783110477740"</f>
        <v>9783110477740</v>
      </c>
      <c r="D946" t="str">
        <f>"9783110479133"</f>
        <v>9783110479133</v>
      </c>
      <c r="E946" t="s">
        <v>350</v>
      </c>
      <c r="F946" s="1">
        <v>43941</v>
      </c>
      <c r="G946" t="s">
        <v>4336</v>
      </c>
      <c r="H946" t="s">
        <v>1328</v>
      </c>
      <c r="J946">
        <v>620.11</v>
      </c>
      <c r="L946" t="s">
        <v>20</v>
      </c>
      <c r="M946" t="s">
        <v>4337</v>
      </c>
    </row>
    <row r="947" spans="1:13" x14ac:dyDescent="0.25">
      <c r="A947">
        <v>6209780</v>
      </c>
      <c r="B947" t="s">
        <v>4338</v>
      </c>
      <c r="C947" t="str">
        <f>""</f>
        <v/>
      </c>
      <c r="D947" t="str">
        <f>"9783110673678"</f>
        <v>9783110673678</v>
      </c>
      <c r="E947" t="s">
        <v>350</v>
      </c>
      <c r="F947" s="1">
        <v>43850</v>
      </c>
      <c r="G947" t="s">
        <v>4339</v>
      </c>
      <c r="H947" t="s">
        <v>70</v>
      </c>
      <c r="L947" t="s">
        <v>4340</v>
      </c>
      <c r="M947" t="s">
        <v>4341</v>
      </c>
    </row>
    <row r="948" spans="1:13" x14ac:dyDescent="0.25">
      <c r="A948">
        <v>6209790</v>
      </c>
      <c r="B948" t="s">
        <v>4342</v>
      </c>
      <c r="C948" t="str">
        <f>"9783110618013"</f>
        <v>9783110618013</v>
      </c>
      <c r="D948" t="str">
        <f>"9783110619744"</f>
        <v>9783110619744</v>
      </c>
      <c r="E948" t="s">
        <v>350</v>
      </c>
      <c r="F948" s="1">
        <v>43815</v>
      </c>
      <c r="G948" t="s">
        <v>4343</v>
      </c>
      <c r="H948" t="s">
        <v>70</v>
      </c>
      <c r="L948" t="s">
        <v>291</v>
      </c>
      <c r="M948" t="s">
        <v>4344</v>
      </c>
    </row>
    <row r="949" spans="1:13" x14ac:dyDescent="0.25">
      <c r="A949">
        <v>6209791</v>
      </c>
      <c r="B949" t="s">
        <v>4345</v>
      </c>
      <c r="C949" t="str">
        <f>"9783110589962"</f>
        <v>9783110589962</v>
      </c>
      <c r="D949" t="str">
        <f>"9783110591330"</f>
        <v>9783110591330</v>
      </c>
      <c r="E949" t="s">
        <v>350</v>
      </c>
      <c r="F949" s="1">
        <v>43774</v>
      </c>
      <c r="G949" t="s">
        <v>4346</v>
      </c>
      <c r="H949" t="s">
        <v>4347</v>
      </c>
      <c r="J949" t="s">
        <v>4348</v>
      </c>
      <c r="L949" t="s">
        <v>20</v>
      </c>
      <c r="M949" t="s">
        <v>4349</v>
      </c>
    </row>
    <row r="950" spans="1:13" x14ac:dyDescent="0.25">
      <c r="A950">
        <v>6209792</v>
      </c>
      <c r="B950" t="s">
        <v>4350</v>
      </c>
      <c r="C950" t="str">
        <f>""</f>
        <v/>
      </c>
      <c r="D950" t="str">
        <f>"9783110650686"</f>
        <v>9783110650686</v>
      </c>
      <c r="E950" t="s">
        <v>350</v>
      </c>
      <c r="F950" s="1">
        <v>43774</v>
      </c>
      <c r="G950" t="s">
        <v>4351</v>
      </c>
      <c r="H950" t="s">
        <v>70</v>
      </c>
      <c r="L950" t="s">
        <v>291</v>
      </c>
      <c r="M950" t="s">
        <v>4352</v>
      </c>
    </row>
    <row r="951" spans="1:13" x14ac:dyDescent="0.25">
      <c r="A951">
        <v>6209801</v>
      </c>
      <c r="B951" t="s">
        <v>4353</v>
      </c>
      <c r="C951" t="str">
        <f>""</f>
        <v/>
      </c>
      <c r="D951" t="str">
        <f>"9783110642698"</f>
        <v>9783110642698</v>
      </c>
      <c r="E951" t="s">
        <v>350</v>
      </c>
      <c r="F951" s="1">
        <v>43774</v>
      </c>
      <c r="G951" t="s">
        <v>4354</v>
      </c>
      <c r="H951" t="s">
        <v>70</v>
      </c>
      <c r="J951">
        <v>809</v>
      </c>
      <c r="L951" t="s">
        <v>20</v>
      </c>
      <c r="M951" t="s">
        <v>4355</v>
      </c>
    </row>
    <row r="952" spans="1:13" x14ac:dyDescent="0.25">
      <c r="A952">
        <v>6209815</v>
      </c>
      <c r="B952" t="s">
        <v>4356</v>
      </c>
      <c r="C952" t="str">
        <f>""</f>
        <v/>
      </c>
      <c r="D952" t="str">
        <f>"9783110580853"</f>
        <v>9783110580853</v>
      </c>
      <c r="E952" t="s">
        <v>350</v>
      </c>
      <c r="F952" s="1">
        <v>43815</v>
      </c>
      <c r="G952" t="s">
        <v>4357</v>
      </c>
      <c r="H952" t="s">
        <v>4358</v>
      </c>
      <c r="L952" t="s">
        <v>20</v>
      </c>
      <c r="M952" t="s">
        <v>4359</v>
      </c>
    </row>
    <row r="953" spans="1:13" x14ac:dyDescent="0.25">
      <c r="A953">
        <v>6209817</v>
      </c>
      <c r="B953" t="s">
        <v>4360</v>
      </c>
      <c r="C953" t="str">
        <f>""</f>
        <v/>
      </c>
      <c r="D953" t="str">
        <f>"9783110637489"</f>
        <v>9783110637489</v>
      </c>
      <c r="E953" t="s">
        <v>350</v>
      </c>
      <c r="F953" s="1">
        <v>43899</v>
      </c>
      <c r="G953" t="s">
        <v>4361</v>
      </c>
      <c r="H953" t="s">
        <v>851</v>
      </c>
      <c r="L953" t="s">
        <v>291</v>
      </c>
      <c r="M953" t="s">
        <v>4362</v>
      </c>
    </row>
    <row r="954" spans="1:13" x14ac:dyDescent="0.25">
      <c r="A954">
        <v>6209824</v>
      </c>
      <c r="B954" t="s">
        <v>4363</v>
      </c>
      <c r="C954" t="str">
        <f>""</f>
        <v/>
      </c>
      <c r="D954" t="str">
        <f>"9783110618594"</f>
        <v>9783110618594</v>
      </c>
      <c r="E954" t="s">
        <v>350</v>
      </c>
      <c r="F954" s="1">
        <v>43774</v>
      </c>
      <c r="G954" t="s">
        <v>4364</v>
      </c>
      <c r="H954" t="s">
        <v>288</v>
      </c>
      <c r="L954" t="s">
        <v>20</v>
      </c>
      <c r="M954" t="s">
        <v>4365</v>
      </c>
    </row>
    <row r="955" spans="1:13" x14ac:dyDescent="0.25">
      <c r="A955">
        <v>6209832</v>
      </c>
      <c r="B955" t="s">
        <v>4366</v>
      </c>
      <c r="C955" t="str">
        <f>""</f>
        <v/>
      </c>
      <c r="D955" t="str">
        <f>"9783110614909"</f>
        <v>9783110614909</v>
      </c>
      <c r="E955" t="s">
        <v>350</v>
      </c>
      <c r="F955" s="1">
        <v>43787</v>
      </c>
      <c r="G955" t="s">
        <v>4367</v>
      </c>
      <c r="H955" t="s">
        <v>101</v>
      </c>
      <c r="L955" t="s">
        <v>291</v>
      </c>
      <c r="M955" t="s">
        <v>4368</v>
      </c>
    </row>
    <row r="956" spans="1:13" x14ac:dyDescent="0.25">
      <c r="A956">
        <v>6209838</v>
      </c>
      <c r="B956" t="s">
        <v>4369</v>
      </c>
      <c r="C956" t="str">
        <f>""</f>
        <v/>
      </c>
      <c r="D956" t="str">
        <f>"9783110668476"</f>
        <v>9783110668476</v>
      </c>
      <c r="E956" t="s">
        <v>350</v>
      </c>
      <c r="F956" s="1">
        <v>43899</v>
      </c>
      <c r="G956" t="s">
        <v>4370</v>
      </c>
      <c r="H956" t="s">
        <v>851</v>
      </c>
      <c r="J956">
        <v>410</v>
      </c>
      <c r="L956" t="s">
        <v>20</v>
      </c>
      <c r="M956" t="s">
        <v>4371</v>
      </c>
    </row>
    <row r="957" spans="1:13" x14ac:dyDescent="0.25">
      <c r="A957">
        <v>6209841</v>
      </c>
      <c r="B957" t="s">
        <v>4372</v>
      </c>
      <c r="C957" t="str">
        <f>""</f>
        <v/>
      </c>
      <c r="D957" t="str">
        <f>"9783110563016"</f>
        <v>9783110563016</v>
      </c>
      <c r="E957" t="s">
        <v>350</v>
      </c>
      <c r="F957" s="1">
        <v>43774</v>
      </c>
      <c r="G957" t="s">
        <v>4373</v>
      </c>
      <c r="H957" t="s">
        <v>70</v>
      </c>
      <c r="J957">
        <v>809.02</v>
      </c>
      <c r="L957" t="s">
        <v>20</v>
      </c>
      <c r="M957" t="s">
        <v>4374</v>
      </c>
    </row>
    <row r="958" spans="1:13" x14ac:dyDescent="0.25">
      <c r="A958">
        <v>6209844</v>
      </c>
      <c r="B958" t="s">
        <v>4375</v>
      </c>
      <c r="C958" t="str">
        <f>""</f>
        <v/>
      </c>
      <c r="D958" t="str">
        <f>"9783110664416"</f>
        <v>9783110664416</v>
      </c>
      <c r="E958" t="s">
        <v>350</v>
      </c>
      <c r="F958" s="1">
        <v>43885</v>
      </c>
      <c r="G958" t="s">
        <v>4376</v>
      </c>
      <c r="H958" t="s">
        <v>139</v>
      </c>
      <c r="J958">
        <v>940.53075000000001</v>
      </c>
      <c r="L958" t="s">
        <v>20</v>
      </c>
      <c r="M958" t="s">
        <v>4377</v>
      </c>
    </row>
    <row r="959" spans="1:13" x14ac:dyDescent="0.25">
      <c r="A959">
        <v>6209849</v>
      </c>
      <c r="B959" t="s">
        <v>4378</v>
      </c>
      <c r="C959" t="str">
        <f>""</f>
        <v/>
      </c>
      <c r="D959" t="str">
        <f>"9783110677485"</f>
        <v>9783110677485</v>
      </c>
      <c r="E959" t="s">
        <v>350</v>
      </c>
      <c r="F959" s="1">
        <v>43927</v>
      </c>
      <c r="G959" t="s">
        <v>4379</v>
      </c>
      <c r="H959" t="s">
        <v>266</v>
      </c>
      <c r="L959" t="s">
        <v>20</v>
      </c>
      <c r="M959" t="s">
        <v>4380</v>
      </c>
    </row>
    <row r="960" spans="1:13" x14ac:dyDescent="0.25">
      <c r="A960">
        <v>6209856</v>
      </c>
      <c r="B960" t="s">
        <v>4381</v>
      </c>
      <c r="C960" t="str">
        <f>""</f>
        <v/>
      </c>
      <c r="D960" t="str">
        <f>"9783110666373"</f>
        <v>9783110666373</v>
      </c>
      <c r="E960" t="s">
        <v>350</v>
      </c>
      <c r="F960" s="1">
        <v>43815</v>
      </c>
      <c r="G960" t="s">
        <v>4382</v>
      </c>
      <c r="H960" t="s">
        <v>16</v>
      </c>
      <c r="L960" t="s">
        <v>291</v>
      </c>
      <c r="M960" t="s">
        <v>4383</v>
      </c>
    </row>
    <row r="961" spans="1:13" x14ac:dyDescent="0.25">
      <c r="A961">
        <v>6209857</v>
      </c>
      <c r="B961" t="s">
        <v>4384</v>
      </c>
      <c r="C961" t="str">
        <f>""</f>
        <v/>
      </c>
      <c r="D961" t="str">
        <f>"9783110645422"</f>
        <v>9783110645422</v>
      </c>
      <c r="E961" t="s">
        <v>350</v>
      </c>
      <c r="F961" s="1">
        <v>43956</v>
      </c>
      <c r="G961" t="s">
        <v>4385</v>
      </c>
      <c r="H961" t="s">
        <v>851</v>
      </c>
      <c r="J961">
        <v>481.1</v>
      </c>
      <c r="L961" t="s">
        <v>291</v>
      </c>
      <c r="M961" t="s">
        <v>4386</v>
      </c>
    </row>
    <row r="962" spans="1:13" x14ac:dyDescent="0.25">
      <c r="A962">
        <v>6209862</v>
      </c>
      <c r="B962" t="s">
        <v>4387</v>
      </c>
      <c r="C962" t="str">
        <f>""</f>
        <v/>
      </c>
      <c r="D962" t="str">
        <f>"9783110668780"</f>
        <v>9783110668780</v>
      </c>
      <c r="E962" t="s">
        <v>350</v>
      </c>
      <c r="F962" s="1">
        <v>43871</v>
      </c>
      <c r="G962" t="s">
        <v>4388</v>
      </c>
      <c r="H962" t="s">
        <v>246</v>
      </c>
      <c r="L962" t="s">
        <v>20</v>
      </c>
      <c r="M962" t="s">
        <v>4389</v>
      </c>
    </row>
    <row r="963" spans="1:13" x14ac:dyDescent="0.25">
      <c r="A963">
        <v>6209863</v>
      </c>
      <c r="B963" t="s">
        <v>4390</v>
      </c>
      <c r="C963" t="str">
        <f>"9783110600780"</f>
        <v>9783110600780</v>
      </c>
      <c r="D963" t="str">
        <f>"9783110612271"</f>
        <v>9783110612271</v>
      </c>
      <c r="E963" t="s">
        <v>350</v>
      </c>
      <c r="F963" s="1">
        <v>43787</v>
      </c>
      <c r="G963" t="s">
        <v>4391</v>
      </c>
      <c r="H963" t="s">
        <v>16</v>
      </c>
      <c r="J963">
        <v>170</v>
      </c>
      <c r="L963" t="s">
        <v>20</v>
      </c>
      <c r="M963" t="s">
        <v>4392</v>
      </c>
    </row>
    <row r="964" spans="1:13" x14ac:dyDescent="0.25">
      <c r="A964">
        <v>6209868</v>
      </c>
      <c r="B964" t="s">
        <v>4393</v>
      </c>
      <c r="C964" t="str">
        <f>""</f>
        <v/>
      </c>
      <c r="D964" t="str">
        <f>"9783110660234"</f>
        <v>9783110660234</v>
      </c>
      <c r="E964" t="s">
        <v>350</v>
      </c>
      <c r="F964" s="1">
        <v>43787</v>
      </c>
      <c r="G964" t="s">
        <v>4394</v>
      </c>
      <c r="H964" t="s">
        <v>851</v>
      </c>
      <c r="L964" t="s">
        <v>291</v>
      </c>
      <c r="M964" t="s">
        <v>4395</v>
      </c>
    </row>
    <row r="965" spans="1:13" x14ac:dyDescent="0.25">
      <c r="A965">
        <v>6209869</v>
      </c>
      <c r="B965" t="s">
        <v>4396</v>
      </c>
      <c r="C965" t="str">
        <f>""</f>
        <v/>
      </c>
      <c r="D965" t="str">
        <f>"9783110656220"</f>
        <v>9783110656220</v>
      </c>
      <c r="E965" t="s">
        <v>350</v>
      </c>
      <c r="F965" s="1">
        <v>43850</v>
      </c>
      <c r="G965" t="s">
        <v>4397</v>
      </c>
      <c r="H965" t="s">
        <v>239</v>
      </c>
      <c r="L965" t="s">
        <v>291</v>
      </c>
      <c r="M965" t="s">
        <v>4398</v>
      </c>
    </row>
    <row r="966" spans="1:13" x14ac:dyDescent="0.25">
      <c r="A966">
        <v>6209876</v>
      </c>
      <c r="B966" t="s">
        <v>4399</v>
      </c>
      <c r="C966" t="str">
        <f>"9783110616606"</f>
        <v>9783110616606</v>
      </c>
      <c r="D966" t="str">
        <f>"9783110616804"</f>
        <v>9783110616804</v>
      </c>
      <c r="E966" t="s">
        <v>350</v>
      </c>
      <c r="F966" s="1">
        <v>43815</v>
      </c>
      <c r="G966" t="s">
        <v>4400</v>
      </c>
      <c r="H966" t="s">
        <v>16</v>
      </c>
      <c r="J966">
        <v>181.11199999999999</v>
      </c>
      <c r="L966" t="s">
        <v>20</v>
      </c>
      <c r="M966" t="s">
        <v>4401</v>
      </c>
    </row>
    <row r="967" spans="1:13" x14ac:dyDescent="0.25">
      <c r="A967">
        <v>6209880</v>
      </c>
      <c r="B967" t="s">
        <v>4402</v>
      </c>
      <c r="C967" t="str">
        <f>""</f>
        <v/>
      </c>
      <c r="D967" t="str">
        <f>"9783110639247"</f>
        <v>9783110639247</v>
      </c>
      <c r="E967" t="s">
        <v>350</v>
      </c>
      <c r="F967" s="1">
        <v>43956</v>
      </c>
      <c r="G967" t="s">
        <v>4403</v>
      </c>
      <c r="H967" t="s">
        <v>288</v>
      </c>
      <c r="L967" t="s">
        <v>20</v>
      </c>
      <c r="M967" t="s">
        <v>4404</v>
      </c>
    </row>
    <row r="968" spans="1:13" x14ac:dyDescent="0.25">
      <c r="A968">
        <v>6209890</v>
      </c>
      <c r="B968" t="s">
        <v>4405</v>
      </c>
      <c r="C968" t="str">
        <f>""</f>
        <v/>
      </c>
      <c r="D968" t="str">
        <f>"9783110645989"</f>
        <v>9783110645989</v>
      </c>
      <c r="E968" t="s">
        <v>350</v>
      </c>
      <c r="F968" s="1">
        <v>43801</v>
      </c>
      <c r="G968" t="s">
        <v>4406</v>
      </c>
      <c r="H968" t="s">
        <v>70</v>
      </c>
      <c r="L968" t="s">
        <v>20</v>
      </c>
      <c r="M968" t="s">
        <v>4407</v>
      </c>
    </row>
    <row r="969" spans="1:13" x14ac:dyDescent="0.25">
      <c r="A969">
        <v>6209901</v>
      </c>
      <c r="B969" t="s">
        <v>4408</v>
      </c>
      <c r="C969" t="str">
        <f>""</f>
        <v/>
      </c>
      <c r="D969" t="str">
        <f>"9783110669824"</f>
        <v>9783110669824</v>
      </c>
      <c r="E969" t="s">
        <v>350</v>
      </c>
      <c r="F969" s="1">
        <v>43850</v>
      </c>
      <c r="G969" t="s">
        <v>4409</v>
      </c>
      <c r="H969" t="s">
        <v>851</v>
      </c>
      <c r="J969">
        <v>410</v>
      </c>
      <c r="L969" t="s">
        <v>20</v>
      </c>
      <c r="M969" t="s">
        <v>4410</v>
      </c>
    </row>
    <row r="970" spans="1:13" x14ac:dyDescent="0.25">
      <c r="A970">
        <v>6209903</v>
      </c>
      <c r="B970" t="s">
        <v>4411</v>
      </c>
      <c r="C970" t="str">
        <f>""</f>
        <v/>
      </c>
      <c r="D970" t="str">
        <f>"9783110692716"</f>
        <v>9783110692716</v>
      </c>
      <c r="E970" t="s">
        <v>350</v>
      </c>
      <c r="F970" s="1">
        <v>43956</v>
      </c>
      <c r="G970" t="s">
        <v>4412</v>
      </c>
      <c r="H970" t="s">
        <v>4413</v>
      </c>
      <c r="L970" t="s">
        <v>291</v>
      </c>
      <c r="M970" t="s">
        <v>4414</v>
      </c>
    </row>
    <row r="971" spans="1:13" x14ac:dyDescent="0.25">
      <c r="A971">
        <v>6209908</v>
      </c>
      <c r="B971" t="s">
        <v>4415</v>
      </c>
      <c r="C971" t="str">
        <f>""</f>
        <v/>
      </c>
      <c r="D971" t="str">
        <f>"9783110660784"</f>
        <v>9783110660784</v>
      </c>
      <c r="E971" t="s">
        <v>350</v>
      </c>
      <c r="F971" s="1">
        <v>43815</v>
      </c>
      <c r="G971" t="s">
        <v>4416</v>
      </c>
      <c r="H971" t="s">
        <v>70</v>
      </c>
      <c r="L971" t="s">
        <v>20</v>
      </c>
      <c r="M971" t="s">
        <v>4417</v>
      </c>
    </row>
    <row r="972" spans="1:13" x14ac:dyDescent="0.25">
      <c r="A972">
        <v>6209911</v>
      </c>
      <c r="B972" t="s">
        <v>4418</v>
      </c>
      <c r="C972" t="str">
        <f>""</f>
        <v/>
      </c>
      <c r="D972" t="str">
        <f>"9783110596588"</f>
        <v>9783110596588</v>
      </c>
      <c r="E972" t="s">
        <v>350</v>
      </c>
      <c r="F972" s="1">
        <v>43927</v>
      </c>
      <c r="G972" t="s">
        <v>4419</v>
      </c>
      <c r="H972" t="s">
        <v>3986</v>
      </c>
      <c r="L972" t="s">
        <v>20</v>
      </c>
      <c r="M972" t="s">
        <v>4420</v>
      </c>
    </row>
    <row r="973" spans="1:13" x14ac:dyDescent="0.25">
      <c r="A973">
        <v>6209914</v>
      </c>
      <c r="B973" t="s">
        <v>4421</v>
      </c>
      <c r="C973" t="str">
        <f>""</f>
        <v/>
      </c>
      <c r="D973" t="str">
        <f>"9783110590661"</f>
        <v>9783110590661</v>
      </c>
      <c r="E973" t="s">
        <v>350</v>
      </c>
      <c r="F973" s="1">
        <v>43913</v>
      </c>
      <c r="G973" t="s">
        <v>4422</v>
      </c>
      <c r="H973" t="s">
        <v>2321</v>
      </c>
      <c r="L973" t="s">
        <v>1213</v>
      </c>
      <c r="M973" t="s">
        <v>4423</v>
      </c>
    </row>
    <row r="974" spans="1:13" x14ac:dyDescent="0.25">
      <c r="A974">
        <v>6209925</v>
      </c>
      <c r="B974" t="s">
        <v>4424</v>
      </c>
      <c r="C974" t="str">
        <f>""</f>
        <v/>
      </c>
      <c r="D974" t="str">
        <f>"9783110679366"</f>
        <v>9783110679366</v>
      </c>
      <c r="E974" t="s">
        <v>350</v>
      </c>
      <c r="F974" s="1">
        <v>43941</v>
      </c>
      <c r="G974" t="s">
        <v>4425</v>
      </c>
      <c r="H974" t="s">
        <v>3973</v>
      </c>
      <c r="L974" t="s">
        <v>291</v>
      </c>
      <c r="M974" t="s">
        <v>4426</v>
      </c>
    </row>
    <row r="975" spans="1:13" x14ac:dyDescent="0.25">
      <c r="A975">
        <v>6209927</v>
      </c>
      <c r="B975" t="s">
        <v>4427</v>
      </c>
      <c r="C975" t="str">
        <f>""</f>
        <v/>
      </c>
      <c r="D975" t="str">
        <f>"9783110645125"</f>
        <v>9783110645125</v>
      </c>
      <c r="E975" t="s">
        <v>350</v>
      </c>
      <c r="F975" s="1">
        <v>43815</v>
      </c>
      <c r="G975" t="s">
        <v>4428</v>
      </c>
      <c r="H975" t="s">
        <v>139</v>
      </c>
      <c r="L975" t="s">
        <v>20</v>
      </c>
      <c r="M975" t="s">
        <v>4429</v>
      </c>
    </row>
    <row r="976" spans="1:13" x14ac:dyDescent="0.25">
      <c r="A976">
        <v>6209931</v>
      </c>
      <c r="B976" t="s">
        <v>4430</v>
      </c>
      <c r="C976" t="str">
        <f>""</f>
        <v/>
      </c>
      <c r="D976" t="str">
        <f>"9783110696479"</f>
        <v>9783110696479</v>
      </c>
      <c r="E976" t="s">
        <v>350</v>
      </c>
      <c r="F976" s="1">
        <v>43927</v>
      </c>
      <c r="G976" t="s">
        <v>4431</v>
      </c>
      <c r="H976" t="s">
        <v>70</v>
      </c>
      <c r="L976" t="s">
        <v>291</v>
      </c>
      <c r="M976" t="s">
        <v>4432</v>
      </c>
    </row>
    <row r="977" spans="1:13" x14ac:dyDescent="0.25">
      <c r="A977">
        <v>6216694</v>
      </c>
      <c r="B977" t="s">
        <v>4433</v>
      </c>
      <c r="C977" t="str">
        <f>"9781783749362"</f>
        <v>9781783749362</v>
      </c>
      <c r="D977" t="str">
        <f>"9781783749379"</f>
        <v>9781783749379</v>
      </c>
      <c r="E977" t="s">
        <v>2270</v>
      </c>
      <c r="F977" s="1">
        <v>43970</v>
      </c>
      <c r="G977" t="s">
        <v>4434</v>
      </c>
      <c r="H977" t="s">
        <v>4435</v>
      </c>
      <c r="L977" t="s">
        <v>20</v>
      </c>
      <c r="M977" t="s">
        <v>4436</v>
      </c>
    </row>
    <row r="978" spans="1:13" x14ac:dyDescent="0.25">
      <c r="A978">
        <v>6235479</v>
      </c>
      <c r="B978" t="s">
        <v>4437</v>
      </c>
      <c r="C978" t="str">
        <f>"9781800640122"</f>
        <v>9781800640122</v>
      </c>
      <c r="D978" t="str">
        <f>"9781800640139"</f>
        <v>9781800640139</v>
      </c>
      <c r="E978" t="s">
        <v>2270</v>
      </c>
      <c r="F978" s="1">
        <v>43983</v>
      </c>
      <c r="G978" t="s">
        <v>4438</v>
      </c>
      <c r="H978" t="s">
        <v>41</v>
      </c>
      <c r="L978" t="s">
        <v>20</v>
      </c>
      <c r="M978" t="s">
        <v>4439</v>
      </c>
    </row>
    <row r="979" spans="1:13" x14ac:dyDescent="0.25">
      <c r="A979">
        <v>6235480</v>
      </c>
      <c r="B979" t="s">
        <v>4440</v>
      </c>
      <c r="C979" t="str">
        <f>"9781783748167"</f>
        <v>9781783748167</v>
      </c>
      <c r="D979" t="str">
        <f>"9781783748174"</f>
        <v>9781783748174</v>
      </c>
      <c r="E979" t="s">
        <v>2270</v>
      </c>
      <c r="F979" s="1">
        <v>43992</v>
      </c>
      <c r="G979" t="s">
        <v>4441</v>
      </c>
      <c r="H979" t="s">
        <v>4442</v>
      </c>
      <c r="L979" t="s">
        <v>20</v>
      </c>
      <c r="M979" t="s">
        <v>4443</v>
      </c>
    </row>
    <row r="980" spans="1:13" x14ac:dyDescent="0.25">
      <c r="A980">
        <v>6252592</v>
      </c>
      <c r="B980" t="s">
        <v>4444</v>
      </c>
      <c r="C980" t="str">
        <f>"9789813272361"</f>
        <v>9789813272361</v>
      </c>
      <c r="D980" t="str">
        <f>"9789813272378"</f>
        <v>9789813272378</v>
      </c>
      <c r="E980" t="s">
        <v>4445</v>
      </c>
      <c r="F980" s="1">
        <v>43972</v>
      </c>
      <c r="G980" t="s">
        <v>4446</v>
      </c>
      <c r="H980" t="s">
        <v>4447</v>
      </c>
      <c r="L980" t="s">
        <v>20</v>
      </c>
      <c r="M980" t="s">
        <v>4448</v>
      </c>
    </row>
    <row r="981" spans="1:13" x14ac:dyDescent="0.25">
      <c r="A981">
        <v>6259007</v>
      </c>
      <c r="B981" t="s">
        <v>4449</v>
      </c>
      <c r="C981" t="str">
        <f>"9781783748525"</f>
        <v>9781783748525</v>
      </c>
      <c r="D981" t="str">
        <f>"9781783748532"</f>
        <v>9781783748532</v>
      </c>
      <c r="E981" t="s">
        <v>2270</v>
      </c>
      <c r="F981" s="1">
        <v>43987</v>
      </c>
      <c r="G981" t="s">
        <v>4450</v>
      </c>
      <c r="H981" t="s">
        <v>4451</v>
      </c>
      <c r="L981" t="s">
        <v>20</v>
      </c>
      <c r="M981" t="s">
        <v>4452</v>
      </c>
    </row>
    <row r="982" spans="1:13" x14ac:dyDescent="0.25">
      <c r="A982">
        <v>6288248</v>
      </c>
      <c r="B982" t="s">
        <v>4453</v>
      </c>
      <c r="C982" t="str">
        <f>"9781783749683"</f>
        <v>9781783749683</v>
      </c>
      <c r="D982" t="str">
        <f>"9781783749690"</f>
        <v>9781783749690</v>
      </c>
      <c r="E982" t="s">
        <v>2270</v>
      </c>
      <c r="F982" s="1">
        <v>44035</v>
      </c>
      <c r="G982" t="s">
        <v>4454</v>
      </c>
      <c r="H982" t="s">
        <v>3047</v>
      </c>
      <c r="L982" t="s">
        <v>20</v>
      </c>
      <c r="M982" t="s">
        <v>4455</v>
      </c>
    </row>
    <row r="983" spans="1:13" x14ac:dyDescent="0.25">
      <c r="A983">
        <v>6288249</v>
      </c>
      <c r="B983" t="s">
        <v>4456</v>
      </c>
      <c r="C983" t="str">
        <f>"9781783749249"</f>
        <v>9781783749249</v>
      </c>
      <c r="D983" t="str">
        <f>"9781783749256"</f>
        <v>9781783749256</v>
      </c>
      <c r="E983" t="s">
        <v>2270</v>
      </c>
      <c r="F983" s="1">
        <v>44004</v>
      </c>
      <c r="G983" t="s">
        <v>4457</v>
      </c>
      <c r="H983" t="s">
        <v>4458</v>
      </c>
      <c r="L983" t="s">
        <v>20</v>
      </c>
      <c r="M983" t="s">
        <v>4459</v>
      </c>
    </row>
    <row r="984" spans="1:13" x14ac:dyDescent="0.25">
      <c r="A984">
        <v>6288250</v>
      </c>
      <c r="B984" t="s">
        <v>4460</v>
      </c>
      <c r="C984" t="str">
        <f>"9781800640009"</f>
        <v>9781800640009</v>
      </c>
      <c r="D984" t="str">
        <f>"9781800640016"</f>
        <v>9781800640016</v>
      </c>
      <c r="E984" t="s">
        <v>2270</v>
      </c>
      <c r="F984" s="1">
        <v>44004</v>
      </c>
      <c r="G984" t="s">
        <v>4457</v>
      </c>
      <c r="H984" t="s">
        <v>4461</v>
      </c>
      <c r="L984" t="s">
        <v>20</v>
      </c>
      <c r="M984" t="s">
        <v>4462</v>
      </c>
    </row>
    <row r="985" spans="1:13" x14ac:dyDescent="0.25">
      <c r="A985">
        <v>6288251</v>
      </c>
      <c r="B985" t="s">
        <v>4463</v>
      </c>
      <c r="C985" t="str">
        <f>"9781783746941"</f>
        <v>9781783746941</v>
      </c>
      <c r="D985" t="str">
        <f>"9781783746958"</f>
        <v>9781783746958</v>
      </c>
      <c r="E985" t="s">
        <v>2270</v>
      </c>
      <c r="F985" s="1">
        <v>43851</v>
      </c>
      <c r="G985" t="s">
        <v>4464</v>
      </c>
      <c r="H985" t="s">
        <v>4465</v>
      </c>
      <c r="J985">
        <v>623.82100000000003</v>
      </c>
      <c r="L985" t="s">
        <v>20</v>
      </c>
      <c r="M985" t="s">
        <v>4466</v>
      </c>
    </row>
    <row r="986" spans="1:13" x14ac:dyDescent="0.25">
      <c r="A986">
        <v>6308648</v>
      </c>
      <c r="B986" t="s">
        <v>4467</v>
      </c>
      <c r="C986" t="str">
        <f>"9783030458423"</f>
        <v>9783030458423</v>
      </c>
      <c r="D986" t="str">
        <f>"9783030458430"</f>
        <v>9783030458430</v>
      </c>
      <c r="E986" t="s">
        <v>2905</v>
      </c>
      <c r="F986" s="1">
        <v>44061</v>
      </c>
      <c r="G986" t="s">
        <v>4468</v>
      </c>
      <c r="H986" t="s">
        <v>2603</v>
      </c>
      <c r="I986" t="s">
        <v>4469</v>
      </c>
      <c r="L986" t="s">
        <v>20</v>
      </c>
      <c r="M986" t="s">
        <v>4470</v>
      </c>
    </row>
    <row r="987" spans="1:13" x14ac:dyDescent="0.25">
      <c r="A987">
        <v>6310309</v>
      </c>
      <c r="B987" t="s">
        <v>4471</v>
      </c>
      <c r="C987" t="str">
        <f>"9783658308391"</f>
        <v>9783658308391</v>
      </c>
      <c r="D987" t="str">
        <f>"9783658308407"</f>
        <v>9783658308407</v>
      </c>
      <c r="E987" t="s">
        <v>4472</v>
      </c>
      <c r="F987" s="1">
        <v>44126</v>
      </c>
      <c r="G987" t="s">
        <v>4473</v>
      </c>
      <c r="H987" t="s">
        <v>1753</v>
      </c>
      <c r="I987" t="s">
        <v>4474</v>
      </c>
      <c r="L987" t="s">
        <v>291</v>
      </c>
      <c r="M987" t="s">
        <v>4475</v>
      </c>
    </row>
    <row r="988" spans="1:13" x14ac:dyDescent="0.25">
      <c r="A988">
        <v>6310311</v>
      </c>
      <c r="B988" t="s">
        <v>4476</v>
      </c>
      <c r="C988" t="str">
        <f>"9783030475444"</f>
        <v>9783030475444</v>
      </c>
      <c r="D988" t="str">
        <f>"9783030475451"</f>
        <v>9783030475451</v>
      </c>
      <c r="E988" t="s">
        <v>2905</v>
      </c>
      <c r="F988" s="1">
        <v>44062</v>
      </c>
      <c r="G988" t="s">
        <v>4477</v>
      </c>
      <c r="H988" t="s">
        <v>1178</v>
      </c>
      <c r="I988" t="s">
        <v>4478</v>
      </c>
      <c r="L988" t="s">
        <v>20</v>
      </c>
      <c r="M988" t="s">
        <v>4479</v>
      </c>
    </row>
    <row r="989" spans="1:13" x14ac:dyDescent="0.25">
      <c r="A989">
        <v>6310312</v>
      </c>
      <c r="B989" t="s">
        <v>4480</v>
      </c>
      <c r="C989" t="str">
        <f>"9783030414795"</f>
        <v>9783030414795</v>
      </c>
      <c r="D989" t="str">
        <f>"9783030414801"</f>
        <v>9783030414801</v>
      </c>
      <c r="E989" t="s">
        <v>2905</v>
      </c>
      <c r="F989" s="1">
        <v>44062</v>
      </c>
      <c r="G989" t="s">
        <v>4481</v>
      </c>
      <c r="H989" t="s">
        <v>2614</v>
      </c>
      <c r="I989" t="s">
        <v>4482</v>
      </c>
      <c r="L989" t="s">
        <v>20</v>
      </c>
      <c r="M989" t="s">
        <v>4483</v>
      </c>
    </row>
    <row r="990" spans="1:13" x14ac:dyDescent="0.25">
      <c r="A990">
        <v>6310316</v>
      </c>
      <c r="B990" t="s">
        <v>4484</v>
      </c>
      <c r="C990" t="str">
        <f>"9783030446161"</f>
        <v>9783030446161</v>
      </c>
      <c r="D990" t="str">
        <f>"9783030446178"</f>
        <v>9783030446178</v>
      </c>
      <c r="E990" t="s">
        <v>2905</v>
      </c>
      <c r="F990" s="1">
        <v>44062</v>
      </c>
      <c r="G990" t="s">
        <v>4485</v>
      </c>
      <c r="H990" t="s">
        <v>363</v>
      </c>
      <c r="I990" t="s">
        <v>4486</v>
      </c>
      <c r="L990" t="s">
        <v>20</v>
      </c>
      <c r="M990" t="s">
        <v>4487</v>
      </c>
    </row>
    <row r="991" spans="1:13" x14ac:dyDescent="0.25">
      <c r="A991">
        <v>6310338</v>
      </c>
      <c r="B991" t="s">
        <v>4488</v>
      </c>
      <c r="C991" t="str">
        <f>"9783030547943"</f>
        <v>9783030547943</v>
      </c>
      <c r="D991" t="str">
        <f>"9783030547950"</f>
        <v>9783030547950</v>
      </c>
      <c r="E991" t="s">
        <v>2905</v>
      </c>
      <c r="F991" s="1">
        <v>44062</v>
      </c>
      <c r="G991" t="s">
        <v>4489</v>
      </c>
      <c r="H991" t="s">
        <v>16</v>
      </c>
      <c r="I991" t="s">
        <v>4490</v>
      </c>
      <c r="L991" t="s">
        <v>20</v>
      </c>
      <c r="M991" t="s">
        <v>4491</v>
      </c>
    </row>
    <row r="992" spans="1:13" x14ac:dyDescent="0.25">
      <c r="A992">
        <v>6310495</v>
      </c>
      <c r="B992" t="s">
        <v>4492</v>
      </c>
      <c r="C992" t="str">
        <f>"9783319442327"</f>
        <v>9783319442327</v>
      </c>
      <c r="D992" t="str">
        <f>"9783319442341"</f>
        <v>9783319442341</v>
      </c>
      <c r="E992" t="s">
        <v>2905</v>
      </c>
      <c r="F992" s="1">
        <v>42804</v>
      </c>
      <c r="G992" t="s">
        <v>4493</v>
      </c>
      <c r="H992" t="s">
        <v>4494</v>
      </c>
      <c r="I992" t="s">
        <v>4495</v>
      </c>
      <c r="J992">
        <v>333.91</v>
      </c>
      <c r="L992" t="s">
        <v>20</v>
      </c>
      <c r="M992" t="s">
        <v>4496</v>
      </c>
    </row>
    <row r="993" spans="1:13" x14ac:dyDescent="0.25">
      <c r="A993">
        <v>6311257</v>
      </c>
      <c r="B993" t="s">
        <v>4497</v>
      </c>
      <c r="C993" t="str">
        <f>"9783319294384"</f>
        <v>9783319294384</v>
      </c>
      <c r="D993" t="str">
        <f>"9783319294391"</f>
        <v>9783319294391</v>
      </c>
      <c r="E993" t="s">
        <v>2905</v>
      </c>
      <c r="F993" s="1">
        <v>42533</v>
      </c>
      <c r="G993" t="s">
        <v>4498</v>
      </c>
      <c r="H993" t="s">
        <v>4499</v>
      </c>
      <c r="I993" t="s">
        <v>4278</v>
      </c>
      <c r="J993">
        <v>4.0151000000000003</v>
      </c>
      <c r="L993" t="s">
        <v>20</v>
      </c>
      <c r="M993" t="s">
        <v>4500</v>
      </c>
    </row>
    <row r="994" spans="1:13" x14ac:dyDescent="0.25">
      <c r="A994">
        <v>6313878</v>
      </c>
      <c r="B994" t="s">
        <v>4501</v>
      </c>
      <c r="C994" t="str">
        <f>"9783030481254"</f>
        <v>9783030481254</v>
      </c>
      <c r="D994" t="str">
        <f>"9783030481261"</f>
        <v>9783030481261</v>
      </c>
      <c r="E994" t="s">
        <v>2905</v>
      </c>
      <c r="F994" s="1">
        <v>44064</v>
      </c>
      <c r="G994" t="s">
        <v>4502</v>
      </c>
      <c r="H994" t="s">
        <v>266</v>
      </c>
      <c r="I994" t="s">
        <v>4503</v>
      </c>
      <c r="L994" t="s">
        <v>20</v>
      </c>
      <c r="M994" t="s">
        <v>4504</v>
      </c>
    </row>
    <row r="995" spans="1:13" x14ac:dyDescent="0.25">
      <c r="A995">
        <v>6313942</v>
      </c>
      <c r="B995" t="s">
        <v>4505</v>
      </c>
      <c r="C995" t="str">
        <f>"9783658314880"</f>
        <v>9783658314880</v>
      </c>
      <c r="D995" t="str">
        <f>"9783658314897"</f>
        <v>9783658314897</v>
      </c>
      <c r="E995" t="s">
        <v>4472</v>
      </c>
      <c r="F995" s="1">
        <v>44064</v>
      </c>
      <c r="G995" t="s">
        <v>4506</v>
      </c>
      <c r="H995" t="s">
        <v>363</v>
      </c>
      <c r="I995" t="s">
        <v>4507</v>
      </c>
      <c r="L995" t="s">
        <v>291</v>
      </c>
      <c r="M995" t="s">
        <v>4508</v>
      </c>
    </row>
    <row r="996" spans="1:13" x14ac:dyDescent="0.25">
      <c r="A996">
        <v>6314336</v>
      </c>
      <c r="B996" t="s">
        <v>4509</v>
      </c>
      <c r="C996" t="str">
        <f>"9784431554677"</f>
        <v>9784431554677</v>
      </c>
      <c r="D996" t="str">
        <f>"9784431554684"</f>
        <v>9784431554684</v>
      </c>
      <c r="E996" t="s">
        <v>4510</v>
      </c>
      <c r="F996" s="1">
        <v>42101</v>
      </c>
      <c r="G996" t="s">
        <v>4511</v>
      </c>
      <c r="H996" t="s">
        <v>1753</v>
      </c>
      <c r="I996" t="s">
        <v>4512</v>
      </c>
      <c r="J996">
        <v>658.18</v>
      </c>
      <c r="L996" t="s">
        <v>20</v>
      </c>
      <c r="M996" t="s">
        <v>4513</v>
      </c>
    </row>
    <row r="997" spans="1:13" x14ac:dyDescent="0.25">
      <c r="A997">
        <v>6315606</v>
      </c>
      <c r="B997" t="s">
        <v>4514</v>
      </c>
      <c r="C997" t="str">
        <f>"9783319965192"</f>
        <v>9783319965192</v>
      </c>
      <c r="D997" t="str">
        <f>"9783319965208"</f>
        <v>9783319965208</v>
      </c>
      <c r="E997" t="s">
        <v>2905</v>
      </c>
      <c r="F997" s="1">
        <v>43315</v>
      </c>
      <c r="G997" t="s">
        <v>4515</v>
      </c>
      <c r="H997" t="s">
        <v>2623</v>
      </c>
      <c r="I997" t="s">
        <v>4516</v>
      </c>
      <c r="L997" t="s">
        <v>20</v>
      </c>
      <c r="M997" t="s">
        <v>4517</v>
      </c>
    </row>
    <row r="998" spans="1:13" x14ac:dyDescent="0.25">
      <c r="A998">
        <v>6317271</v>
      </c>
      <c r="B998" t="s">
        <v>4518</v>
      </c>
      <c r="C998" t="str">
        <f>"9783030472283"</f>
        <v>9783030472283</v>
      </c>
      <c r="D998" t="str">
        <f>"9783030472290"</f>
        <v>9783030472290</v>
      </c>
      <c r="E998" t="s">
        <v>2905</v>
      </c>
      <c r="F998" s="1">
        <v>44065</v>
      </c>
      <c r="G998" t="s">
        <v>4519</v>
      </c>
      <c r="H998" t="s">
        <v>4347</v>
      </c>
      <c r="I998" t="s">
        <v>4520</v>
      </c>
      <c r="L998" t="s">
        <v>20</v>
      </c>
      <c r="M998" t="s">
        <v>4521</v>
      </c>
    </row>
    <row r="999" spans="1:13" x14ac:dyDescent="0.25">
      <c r="A999">
        <v>6320909</v>
      </c>
      <c r="B999" t="s">
        <v>4522</v>
      </c>
      <c r="C999" t="str">
        <f>"9783030510183"</f>
        <v>9783030510183</v>
      </c>
      <c r="D999" t="str">
        <f>"9783030510190"</f>
        <v>9783030510190</v>
      </c>
      <c r="E999" t="s">
        <v>2905</v>
      </c>
      <c r="F999" s="1">
        <v>44071</v>
      </c>
      <c r="G999" t="s">
        <v>4523</v>
      </c>
      <c r="H999" t="s">
        <v>239</v>
      </c>
      <c r="I999" t="s">
        <v>4524</v>
      </c>
      <c r="L999" t="s">
        <v>20</v>
      </c>
      <c r="M999" t="s">
        <v>4525</v>
      </c>
    </row>
    <row r="1000" spans="1:13" x14ac:dyDescent="0.25">
      <c r="A1000">
        <v>6321296</v>
      </c>
      <c r="B1000" t="s">
        <v>4526</v>
      </c>
      <c r="C1000" t="str">
        <f>"9783030505547"</f>
        <v>9783030505547</v>
      </c>
      <c r="D1000" t="str">
        <f>"9783030505554"</f>
        <v>9783030505554</v>
      </c>
      <c r="E1000" t="s">
        <v>2905</v>
      </c>
      <c r="F1000" s="1">
        <v>44072</v>
      </c>
      <c r="G1000" t="s">
        <v>4527</v>
      </c>
      <c r="H1000" t="s">
        <v>4528</v>
      </c>
      <c r="I1000" t="s">
        <v>4529</v>
      </c>
      <c r="J1000">
        <v>507.11427329999998</v>
      </c>
      <c r="K1000" t="s">
        <v>4530</v>
      </c>
      <c r="L1000" t="s">
        <v>20</v>
      </c>
      <c r="M1000" t="s">
        <v>4531</v>
      </c>
    </row>
    <row r="1001" spans="1:13" x14ac:dyDescent="0.25">
      <c r="A1001">
        <v>6321302</v>
      </c>
      <c r="B1001" t="s">
        <v>4532</v>
      </c>
      <c r="C1001" t="str">
        <f>"9783030562816"</f>
        <v>9783030562816</v>
      </c>
      <c r="D1001" t="str">
        <f>"9783030562823"</f>
        <v>9783030562823</v>
      </c>
      <c r="E1001" t="s">
        <v>2905</v>
      </c>
      <c r="F1001" s="1">
        <v>44071</v>
      </c>
      <c r="G1001" t="s">
        <v>4533</v>
      </c>
      <c r="H1001" t="s">
        <v>1753</v>
      </c>
      <c r="I1001" t="s">
        <v>4474</v>
      </c>
      <c r="L1001" t="s">
        <v>20</v>
      </c>
      <c r="M1001" t="s">
        <v>4534</v>
      </c>
    </row>
    <row r="1002" spans="1:13" x14ac:dyDescent="0.25">
      <c r="A1002">
        <v>6321303</v>
      </c>
      <c r="B1002" t="s">
        <v>4535</v>
      </c>
      <c r="C1002" t="str">
        <f>"9783030508401"</f>
        <v>9783030508401</v>
      </c>
      <c r="D1002" t="str">
        <f>"9783030508418"</f>
        <v>9783030508418</v>
      </c>
      <c r="E1002" t="s">
        <v>2905</v>
      </c>
      <c r="F1002" s="1">
        <v>44072</v>
      </c>
      <c r="G1002" t="s">
        <v>4536</v>
      </c>
      <c r="H1002" t="s">
        <v>83</v>
      </c>
      <c r="I1002" t="s">
        <v>4537</v>
      </c>
      <c r="L1002" t="s">
        <v>20</v>
      </c>
      <c r="M1002" t="s">
        <v>4538</v>
      </c>
    </row>
    <row r="1003" spans="1:13" x14ac:dyDescent="0.25">
      <c r="A1003">
        <v>6321305</v>
      </c>
      <c r="B1003" t="s">
        <v>4539</v>
      </c>
      <c r="C1003" t="str">
        <f>"9783662610329"</f>
        <v>9783662610329</v>
      </c>
      <c r="D1003" t="str">
        <f>"9783662610336"</f>
        <v>9783662610336</v>
      </c>
      <c r="E1003" t="s">
        <v>4540</v>
      </c>
      <c r="F1003" s="1">
        <v>44072</v>
      </c>
      <c r="G1003" t="s">
        <v>4541</v>
      </c>
      <c r="H1003" t="s">
        <v>4542</v>
      </c>
      <c r="I1003" t="s">
        <v>4239</v>
      </c>
      <c r="L1003" t="s">
        <v>291</v>
      </c>
      <c r="M1003" t="s">
        <v>4543</v>
      </c>
    </row>
    <row r="1004" spans="1:13" x14ac:dyDescent="0.25">
      <c r="A1004">
        <v>6331579</v>
      </c>
      <c r="B1004" t="s">
        <v>4544</v>
      </c>
      <c r="C1004" t="str">
        <f>"9783658313074"</f>
        <v>9783658313074</v>
      </c>
      <c r="D1004" t="str">
        <f>"9783658313081"</f>
        <v>9783658313081</v>
      </c>
      <c r="E1004" t="s">
        <v>4472</v>
      </c>
      <c r="F1004" s="1">
        <v>44129</v>
      </c>
      <c r="G1004" t="s">
        <v>4545</v>
      </c>
      <c r="H1004" t="s">
        <v>64</v>
      </c>
      <c r="I1004" t="s">
        <v>2908</v>
      </c>
      <c r="L1004" t="s">
        <v>291</v>
      </c>
      <c r="M1004" t="s">
        <v>4546</v>
      </c>
    </row>
    <row r="1005" spans="1:13" x14ac:dyDescent="0.25">
      <c r="A1005">
        <v>6331588</v>
      </c>
      <c r="B1005" t="s">
        <v>4547</v>
      </c>
      <c r="C1005" t="str">
        <f>"9783662614532"</f>
        <v>9783662614532</v>
      </c>
      <c r="D1005" t="str">
        <f>"9783662614549"</f>
        <v>9783662614549</v>
      </c>
      <c r="E1005" t="s">
        <v>4540</v>
      </c>
      <c r="F1005" s="1">
        <v>44076</v>
      </c>
      <c r="G1005" t="s">
        <v>4548</v>
      </c>
      <c r="H1005" t="s">
        <v>1116</v>
      </c>
      <c r="I1005" t="s">
        <v>4549</v>
      </c>
      <c r="L1005" t="s">
        <v>291</v>
      </c>
      <c r="M1005" t="s">
        <v>4550</v>
      </c>
    </row>
    <row r="1006" spans="1:13" x14ac:dyDescent="0.25">
      <c r="A1006">
        <v>6331612</v>
      </c>
      <c r="B1006" t="s">
        <v>4551</v>
      </c>
      <c r="C1006" t="str">
        <f>"9789811555534"</f>
        <v>9789811555534</v>
      </c>
      <c r="D1006" t="str">
        <f>"9789811555541"</f>
        <v>9789811555541</v>
      </c>
      <c r="E1006" t="s">
        <v>4099</v>
      </c>
      <c r="F1006" s="1">
        <v>44076</v>
      </c>
      <c r="G1006" t="s">
        <v>4552</v>
      </c>
      <c r="H1006" t="s">
        <v>712</v>
      </c>
      <c r="I1006" t="s">
        <v>4553</v>
      </c>
      <c r="L1006" t="s">
        <v>20</v>
      </c>
      <c r="M1006" t="s">
        <v>4554</v>
      </c>
    </row>
    <row r="1007" spans="1:13" x14ac:dyDescent="0.25">
      <c r="A1007">
        <v>6331614</v>
      </c>
      <c r="B1007" t="s">
        <v>4555</v>
      </c>
      <c r="C1007" t="str">
        <f>"9783658313210"</f>
        <v>9783658313210</v>
      </c>
      <c r="D1007" t="str">
        <f>"9783658313227"</f>
        <v>9783658313227</v>
      </c>
      <c r="E1007" t="s">
        <v>4472</v>
      </c>
      <c r="F1007" s="1">
        <v>44128</v>
      </c>
      <c r="G1007" t="s">
        <v>4556</v>
      </c>
      <c r="H1007" t="s">
        <v>1753</v>
      </c>
      <c r="I1007" t="s">
        <v>4474</v>
      </c>
      <c r="L1007" t="s">
        <v>291</v>
      </c>
      <c r="M1007" t="s">
        <v>4557</v>
      </c>
    </row>
    <row r="1008" spans="1:13" x14ac:dyDescent="0.25">
      <c r="A1008">
        <v>6331621</v>
      </c>
      <c r="B1008" t="s">
        <v>4558</v>
      </c>
      <c r="C1008" t="str">
        <f>"9783662613610"</f>
        <v>9783662613610</v>
      </c>
      <c r="D1008" t="str">
        <f>"9783662613627"</f>
        <v>9783662613627</v>
      </c>
      <c r="E1008" t="s">
        <v>4540</v>
      </c>
      <c r="F1008" s="1">
        <v>44075</v>
      </c>
      <c r="G1008" t="s">
        <v>4559</v>
      </c>
      <c r="H1008" t="s">
        <v>2597</v>
      </c>
      <c r="I1008" t="s">
        <v>4560</v>
      </c>
      <c r="L1008" t="s">
        <v>291</v>
      </c>
      <c r="M1008" t="s">
        <v>4561</v>
      </c>
    </row>
    <row r="1009" spans="1:13" x14ac:dyDescent="0.25">
      <c r="A1009">
        <v>6331638</v>
      </c>
      <c r="B1009" t="s">
        <v>4562</v>
      </c>
      <c r="C1009" t="str">
        <f>"9783030360702"</f>
        <v>9783030360702</v>
      </c>
      <c r="D1009" t="str">
        <f>"9783030360719"</f>
        <v>9783030360719</v>
      </c>
      <c r="E1009" t="s">
        <v>2905</v>
      </c>
      <c r="F1009" s="1">
        <v>44076</v>
      </c>
      <c r="G1009" t="s">
        <v>4563</v>
      </c>
      <c r="H1009" t="s">
        <v>4564</v>
      </c>
      <c r="I1009" t="s">
        <v>4565</v>
      </c>
      <c r="L1009" t="s">
        <v>20</v>
      </c>
      <c r="M1009" t="s">
        <v>4566</v>
      </c>
    </row>
    <row r="1010" spans="1:13" x14ac:dyDescent="0.25">
      <c r="A1010">
        <v>6335317</v>
      </c>
      <c r="B1010" t="s">
        <v>4567</v>
      </c>
      <c r="C1010" t="str">
        <f>"9783662620120"</f>
        <v>9783662620120</v>
      </c>
      <c r="D1010" t="str">
        <f>"9783662620137"</f>
        <v>9783662620137</v>
      </c>
      <c r="E1010" t="s">
        <v>4540</v>
      </c>
      <c r="F1010" s="1">
        <v>44077</v>
      </c>
      <c r="G1010" t="s">
        <v>4568</v>
      </c>
      <c r="H1010" t="s">
        <v>1753</v>
      </c>
      <c r="I1010" t="s">
        <v>4569</v>
      </c>
      <c r="L1010" t="s">
        <v>291</v>
      </c>
      <c r="M1010" t="s">
        <v>4570</v>
      </c>
    </row>
    <row r="1011" spans="1:13" x14ac:dyDescent="0.25">
      <c r="A1011">
        <v>6335319</v>
      </c>
      <c r="B1011" t="s">
        <v>4571</v>
      </c>
      <c r="C1011" t="str">
        <f>"9783030452155"</f>
        <v>9783030452155</v>
      </c>
      <c r="D1011" t="str">
        <f>"9783030452162"</f>
        <v>9783030452162</v>
      </c>
      <c r="E1011" t="s">
        <v>2905</v>
      </c>
      <c r="F1011" s="1">
        <v>44077</v>
      </c>
      <c r="G1011" t="s">
        <v>4572</v>
      </c>
      <c r="H1011" t="s">
        <v>2614</v>
      </c>
      <c r="I1011" t="s">
        <v>4573</v>
      </c>
      <c r="L1011" t="s">
        <v>20</v>
      </c>
      <c r="M1011" t="s">
        <v>4574</v>
      </c>
    </row>
    <row r="1012" spans="1:13" x14ac:dyDescent="0.25">
      <c r="A1012">
        <v>6336345</v>
      </c>
      <c r="B1012" t="s">
        <v>4575</v>
      </c>
      <c r="C1012" t="str">
        <f>"9783030530808"</f>
        <v>9783030530808</v>
      </c>
      <c r="D1012" t="str">
        <f>"9783030530815"</f>
        <v>9783030530815</v>
      </c>
      <c r="E1012" t="s">
        <v>2905</v>
      </c>
      <c r="F1012" s="1">
        <v>44078</v>
      </c>
      <c r="G1012" t="s">
        <v>4576</v>
      </c>
      <c r="H1012" t="s">
        <v>363</v>
      </c>
      <c r="I1012" t="s">
        <v>4235</v>
      </c>
      <c r="L1012" t="s">
        <v>20</v>
      </c>
      <c r="M1012" t="s">
        <v>4577</v>
      </c>
    </row>
    <row r="1013" spans="1:13" x14ac:dyDescent="0.25">
      <c r="A1013">
        <v>6336388</v>
      </c>
      <c r="B1013" t="s">
        <v>4578</v>
      </c>
      <c r="C1013" t="str">
        <f>"9783030526726"</f>
        <v>9783030526726</v>
      </c>
      <c r="D1013" t="str">
        <f>"9783030526733"</f>
        <v>9783030526733</v>
      </c>
      <c r="E1013" t="s">
        <v>2905</v>
      </c>
      <c r="F1013" s="1">
        <v>44078</v>
      </c>
      <c r="G1013" t="s">
        <v>4579</v>
      </c>
      <c r="H1013" t="s">
        <v>16</v>
      </c>
      <c r="I1013" t="s">
        <v>4580</v>
      </c>
      <c r="L1013" t="s">
        <v>20</v>
      </c>
      <c r="M1013" t="s">
        <v>4581</v>
      </c>
    </row>
    <row r="1014" spans="1:13" x14ac:dyDescent="0.25">
      <c r="A1014">
        <v>6340250</v>
      </c>
      <c r="B1014" t="s">
        <v>4582</v>
      </c>
      <c r="C1014" t="str">
        <f>"9783030581466"</f>
        <v>9783030581466</v>
      </c>
      <c r="D1014" t="str">
        <f>"9783030581473"</f>
        <v>9783030581473</v>
      </c>
      <c r="E1014" t="s">
        <v>2905</v>
      </c>
      <c r="F1014" s="1">
        <v>44079</v>
      </c>
      <c r="G1014" t="s">
        <v>4583</v>
      </c>
      <c r="H1014" t="s">
        <v>712</v>
      </c>
      <c r="I1014" t="s">
        <v>4584</v>
      </c>
      <c r="L1014" t="s">
        <v>20</v>
      </c>
      <c r="M1014" t="s">
        <v>4585</v>
      </c>
    </row>
    <row r="1015" spans="1:13" x14ac:dyDescent="0.25">
      <c r="A1015">
        <v>6341113</v>
      </c>
      <c r="B1015" t="s">
        <v>4586</v>
      </c>
      <c r="C1015" t="str">
        <f>"9783030484842"</f>
        <v>9783030484842</v>
      </c>
      <c r="D1015" t="str">
        <f>"9783030484859"</f>
        <v>9783030484859</v>
      </c>
      <c r="E1015" t="s">
        <v>2905</v>
      </c>
      <c r="F1015" s="1">
        <v>44079</v>
      </c>
      <c r="G1015" t="s">
        <v>4587</v>
      </c>
      <c r="H1015" t="s">
        <v>1753</v>
      </c>
      <c r="I1015" t="s">
        <v>4588</v>
      </c>
      <c r="L1015" t="s">
        <v>20</v>
      </c>
      <c r="M1015" t="s">
        <v>4589</v>
      </c>
    </row>
    <row r="1016" spans="1:13" x14ac:dyDescent="0.25">
      <c r="A1016">
        <v>6350821</v>
      </c>
      <c r="B1016" t="s">
        <v>4590</v>
      </c>
      <c r="C1016" t="str">
        <f>"9783030449780"</f>
        <v>9783030449780</v>
      </c>
      <c r="D1016" t="str">
        <f>"9783030449797"</f>
        <v>9783030449797</v>
      </c>
      <c r="E1016" t="s">
        <v>2905</v>
      </c>
      <c r="F1016" s="1">
        <v>44089</v>
      </c>
      <c r="G1016" t="s">
        <v>4591</v>
      </c>
      <c r="H1016" t="s">
        <v>4101</v>
      </c>
      <c r="I1016" t="s">
        <v>4592</v>
      </c>
      <c r="J1016">
        <v>338.64249999999998</v>
      </c>
      <c r="L1016" t="s">
        <v>20</v>
      </c>
      <c r="M1016" t="s">
        <v>4593</v>
      </c>
    </row>
    <row r="1017" spans="1:13" x14ac:dyDescent="0.25">
      <c r="A1017">
        <v>6350855</v>
      </c>
      <c r="B1017" t="s">
        <v>4594</v>
      </c>
      <c r="C1017" t="str">
        <f>"9783030528720"</f>
        <v>9783030528720</v>
      </c>
      <c r="D1017" t="str">
        <f>"9783030528737"</f>
        <v>9783030528737</v>
      </c>
      <c r="E1017" t="s">
        <v>2905</v>
      </c>
      <c r="F1017" s="1">
        <v>44089</v>
      </c>
      <c r="G1017" t="s">
        <v>4595</v>
      </c>
      <c r="H1017" t="s">
        <v>4596</v>
      </c>
      <c r="I1017" t="s">
        <v>4597</v>
      </c>
      <c r="J1017">
        <v>362.02850000000001</v>
      </c>
      <c r="L1017" t="s">
        <v>20</v>
      </c>
      <c r="M1017" t="s">
        <v>4598</v>
      </c>
    </row>
    <row r="1018" spans="1:13" x14ac:dyDescent="0.25">
      <c r="A1018">
        <v>6351026</v>
      </c>
      <c r="B1018" t="s">
        <v>4599</v>
      </c>
      <c r="C1018" t="str">
        <f>"9781783747337"</f>
        <v>9781783747337</v>
      </c>
      <c r="D1018" t="str">
        <f>"9781783747344"</f>
        <v>9781783747344</v>
      </c>
      <c r="E1018" t="s">
        <v>2270</v>
      </c>
      <c r="F1018" s="1">
        <v>44078</v>
      </c>
      <c r="G1018" t="s">
        <v>4600</v>
      </c>
      <c r="H1018" t="s">
        <v>3948</v>
      </c>
      <c r="J1018">
        <v>793.33</v>
      </c>
      <c r="L1018" t="s">
        <v>20</v>
      </c>
      <c r="M1018" t="s">
        <v>4601</v>
      </c>
    </row>
    <row r="1019" spans="1:13" x14ac:dyDescent="0.25">
      <c r="A1019">
        <v>6351027</v>
      </c>
      <c r="B1019" t="s">
        <v>4602</v>
      </c>
      <c r="C1019" t="str">
        <f>"9781800640184"</f>
        <v>9781800640184</v>
      </c>
      <c r="D1019" t="str">
        <f>"9781800640191"</f>
        <v>9781800640191</v>
      </c>
      <c r="E1019" t="s">
        <v>2270</v>
      </c>
      <c r="F1019" s="1">
        <v>44074</v>
      </c>
      <c r="G1019" t="s">
        <v>3288</v>
      </c>
      <c r="H1019" t="s">
        <v>2902</v>
      </c>
      <c r="L1019" t="s">
        <v>20</v>
      </c>
      <c r="M1019" t="s">
        <v>4603</v>
      </c>
    </row>
    <row r="1020" spans="1:13" x14ac:dyDescent="0.25">
      <c r="A1020">
        <v>6352741</v>
      </c>
      <c r="B1020" t="s">
        <v>4604</v>
      </c>
      <c r="C1020" t="str">
        <f>"9789811569630"</f>
        <v>9789811569630</v>
      </c>
      <c r="D1020" t="str">
        <f>"9789811569647"</f>
        <v>9789811569647</v>
      </c>
      <c r="E1020" t="s">
        <v>4099</v>
      </c>
      <c r="F1020" s="1">
        <v>44092</v>
      </c>
      <c r="G1020" t="s">
        <v>4605</v>
      </c>
      <c r="H1020" t="s">
        <v>1753</v>
      </c>
      <c r="I1020" t="s">
        <v>4588</v>
      </c>
      <c r="L1020" t="s">
        <v>20</v>
      </c>
      <c r="M1020" t="s">
        <v>4606</v>
      </c>
    </row>
    <row r="1021" spans="1:13" x14ac:dyDescent="0.25">
      <c r="A1021">
        <v>6352766</v>
      </c>
      <c r="B1021" t="s">
        <v>4607</v>
      </c>
      <c r="C1021" t="str">
        <f>"9783030499198"</f>
        <v>9783030499198</v>
      </c>
      <c r="D1021" t="str">
        <f>"9783030499204"</f>
        <v>9783030499204</v>
      </c>
      <c r="E1021" t="s">
        <v>2905</v>
      </c>
      <c r="F1021" s="1">
        <v>44092</v>
      </c>
      <c r="G1021" t="s">
        <v>4608</v>
      </c>
      <c r="H1021" t="s">
        <v>1753</v>
      </c>
      <c r="I1021" t="s">
        <v>4609</v>
      </c>
      <c r="L1021" t="s">
        <v>20</v>
      </c>
      <c r="M1021" t="s">
        <v>4610</v>
      </c>
    </row>
    <row r="1022" spans="1:13" x14ac:dyDescent="0.25">
      <c r="A1022">
        <v>6354371</v>
      </c>
      <c r="B1022" t="s">
        <v>4611</v>
      </c>
      <c r="C1022" t="str">
        <f>"9789401772204"</f>
        <v>9789401772204</v>
      </c>
      <c r="D1022" t="str">
        <f>"9789401772211"</f>
        <v>9789401772211</v>
      </c>
      <c r="E1022" t="s">
        <v>4612</v>
      </c>
      <c r="F1022" s="1">
        <v>42209</v>
      </c>
      <c r="G1022" t="s">
        <v>4613</v>
      </c>
      <c r="H1022" t="s">
        <v>4614</v>
      </c>
      <c r="I1022" t="s">
        <v>4615</v>
      </c>
      <c r="J1022">
        <v>658.5</v>
      </c>
      <c r="L1022" t="s">
        <v>20</v>
      </c>
      <c r="M1022" t="s">
        <v>4616</v>
      </c>
    </row>
    <row r="1023" spans="1:13" x14ac:dyDescent="0.25">
      <c r="A1023">
        <v>6355554</v>
      </c>
      <c r="B1023" t="s">
        <v>4617</v>
      </c>
      <c r="C1023" t="str">
        <f>"9783030548018"</f>
        <v>9783030548018</v>
      </c>
      <c r="D1023" t="str">
        <f>"9783030548025"</f>
        <v>9783030548025</v>
      </c>
      <c r="E1023" t="s">
        <v>2905</v>
      </c>
      <c r="F1023" s="1">
        <v>44096</v>
      </c>
      <c r="G1023" t="s">
        <v>4618</v>
      </c>
      <c r="H1023" t="s">
        <v>266</v>
      </c>
      <c r="I1023" t="s">
        <v>4619</v>
      </c>
      <c r="J1023">
        <v>616.89009034000003</v>
      </c>
      <c r="L1023" t="s">
        <v>20</v>
      </c>
      <c r="M1023" t="s">
        <v>4620</v>
      </c>
    </row>
    <row r="1024" spans="1:13" x14ac:dyDescent="0.25">
      <c r="A1024">
        <v>6355622</v>
      </c>
      <c r="B1024" t="s">
        <v>4621</v>
      </c>
      <c r="C1024" t="str">
        <f>"9783030474317"</f>
        <v>9783030474317</v>
      </c>
      <c r="D1024" t="str">
        <f>"9783030474324"</f>
        <v>9783030474324</v>
      </c>
      <c r="E1024" t="s">
        <v>2905</v>
      </c>
      <c r="F1024" s="1">
        <v>44096</v>
      </c>
      <c r="G1024" t="s">
        <v>4622</v>
      </c>
      <c r="H1024" t="s">
        <v>120</v>
      </c>
      <c r="I1024" t="s">
        <v>4623</v>
      </c>
      <c r="J1024">
        <v>320.94850000000002</v>
      </c>
      <c r="L1024" t="s">
        <v>20</v>
      </c>
      <c r="M1024" t="s">
        <v>4624</v>
      </c>
    </row>
    <row r="1025" spans="1:13" x14ac:dyDescent="0.25">
      <c r="A1025">
        <v>6360853</v>
      </c>
      <c r="B1025" t="s">
        <v>4625</v>
      </c>
      <c r="C1025" t="str">
        <f>"9781137426017"</f>
        <v>9781137426017</v>
      </c>
      <c r="D1025" t="str">
        <f>"9781137426024"</f>
        <v>9781137426024</v>
      </c>
      <c r="E1025" t="s">
        <v>4626</v>
      </c>
      <c r="F1025" s="1">
        <v>42185</v>
      </c>
      <c r="G1025" t="s">
        <v>4627</v>
      </c>
      <c r="H1025" t="s">
        <v>16</v>
      </c>
      <c r="I1025" t="s">
        <v>4080</v>
      </c>
      <c r="L1025" t="s">
        <v>20</v>
      </c>
      <c r="M1025" t="s">
        <v>4628</v>
      </c>
    </row>
    <row r="1026" spans="1:13" x14ac:dyDescent="0.25">
      <c r="A1026">
        <v>6362076</v>
      </c>
      <c r="B1026" t="s">
        <v>4629</v>
      </c>
      <c r="C1026" t="str">
        <f>"9789811557279"</f>
        <v>9789811557279</v>
      </c>
      <c r="D1026" t="str">
        <f>"9789811557286"</f>
        <v>9789811557286</v>
      </c>
      <c r="E1026" t="s">
        <v>4099</v>
      </c>
      <c r="F1026" s="1">
        <v>44105</v>
      </c>
      <c r="G1026" t="s">
        <v>4630</v>
      </c>
      <c r="H1026" t="s">
        <v>4631</v>
      </c>
      <c r="I1026" t="s">
        <v>4632</v>
      </c>
      <c r="J1026">
        <v>333.79095599999999</v>
      </c>
      <c r="L1026" t="s">
        <v>20</v>
      </c>
      <c r="M1026" t="s">
        <v>4633</v>
      </c>
    </row>
    <row r="1027" spans="1:13" x14ac:dyDescent="0.25">
      <c r="A1027">
        <v>6363081</v>
      </c>
      <c r="B1027" t="s">
        <v>4634</v>
      </c>
      <c r="C1027" t="str">
        <f>"9783030420963"</f>
        <v>9783030420963</v>
      </c>
      <c r="D1027" t="str">
        <f>"9783030420970"</f>
        <v>9783030420970</v>
      </c>
      <c r="E1027" t="s">
        <v>2905</v>
      </c>
      <c r="F1027" s="1">
        <v>44005</v>
      </c>
      <c r="G1027" t="s">
        <v>4635</v>
      </c>
      <c r="H1027" t="s">
        <v>712</v>
      </c>
      <c r="I1027" t="s">
        <v>4584</v>
      </c>
      <c r="L1027" t="s">
        <v>20</v>
      </c>
      <c r="M1027" t="s">
        <v>4636</v>
      </c>
    </row>
    <row r="1028" spans="1:13" x14ac:dyDescent="0.25">
      <c r="A1028">
        <v>6363086</v>
      </c>
      <c r="B1028" t="s">
        <v>4637</v>
      </c>
      <c r="C1028" t="str">
        <f>"9783319120386"</f>
        <v>9783319120386</v>
      </c>
      <c r="D1028" t="str">
        <f>"9783319120393"</f>
        <v>9783319120393</v>
      </c>
      <c r="E1028" t="s">
        <v>2905</v>
      </c>
      <c r="F1028" s="1">
        <v>42142</v>
      </c>
      <c r="G1028" t="s">
        <v>4638</v>
      </c>
      <c r="H1028" t="s">
        <v>4639</v>
      </c>
      <c r="I1028" t="s">
        <v>4615</v>
      </c>
      <c r="J1028">
        <v>333.71530940000002</v>
      </c>
      <c r="L1028" t="s">
        <v>20</v>
      </c>
      <c r="M1028" t="s">
        <v>4640</v>
      </c>
    </row>
    <row r="1029" spans="1:13" x14ac:dyDescent="0.25">
      <c r="A1029">
        <v>6363088</v>
      </c>
      <c r="B1029" t="s">
        <v>4641</v>
      </c>
      <c r="C1029" t="str">
        <f>"9783319215686"</f>
        <v>9783319215686</v>
      </c>
      <c r="D1029" t="str">
        <f>"9783319215693"</f>
        <v>9783319215693</v>
      </c>
      <c r="E1029" t="s">
        <v>2905</v>
      </c>
      <c r="F1029" s="1">
        <v>42471</v>
      </c>
      <c r="G1029" t="s">
        <v>4642</v>
      </c>
      <c r="H1029" t="s">
        <v>712</v>
      </c>
      <c r="I1029" t="s">
        <v>4553</v>
      </c>
      <c r="L1029" t="s">
        <v>20</v>
      </c>
      <c r="M1029" t="s">
        <v>4643</v>
      </c>
    </row>
    <row r="1030" spans="1:13" x14ac:dyDescent="0.25">
      <c r="A1030">
        <v>6363092</v>
      </c>
      <c r="B1030" t="s">
        <v>4644</v>
      </c>
      <c r="C1030" t="str">
        <f>"9783319272863"</f>
        <v>9783319272863</v>
      </c>
      <c r="D1030" t="str">
        <f>"9783319272887"</f>
        <v>9783319272887</v>
      </c>
      <c r="E1030" t="s">
        <v>2905</v>
      </c>
      <c r="F1030" s="1">
        <v>42711</v>
      </c>
      <c r="G1030" t="s">
        <v>4645</v>
      </c>
      <c r="H1030" t="s">
        <v>2614</v>
      </c>
      <c r="I1030" t="s">
        <v>4646</v>
      </c>
      <c r="L1030" t="s">
        <v>20</v>
      </c>
      <c r="M1030" t="s">
        <v>4647</v>
      </c>
    </row>
    <row r="1031" spans="1:13" x14ac:dyDescent="0.25">
      <c r="A1031">
        <v>6363097</v>
      </c>
      <c r="B1031" t="s">
        <v>4648</v>
      </c>
      <c r="C1031" t="str">
        <f>"9783319163567"</f>
        <v>9783319163567</v>
      </c>
      <c r="D1031" t="str">
        <f>"9783319163574"</f>
        <v>9783319163574</v>
      </c>
      <c r="E1031" t="s">
        <v>2905</v>
      </c>
      <c r="F1031" s="1">
        <v>42130</v>
      </c>
      <c r="G1031" t="s">
        <v>4649</v>
      </c>
      <c r="H1031" t="s">
        <v>2603</v>
      </c>
      <c r="I1031" t="s">
        <v>4646</v>
      </c>
      <c r="L1031" t="s">
        <v>20</v>
      </c>
      <c r="M1031" t="s">
        <v>4650</v>
      </c>
    </row>
    <row r="1032" spans="1:13" x14ac:dyDescent="0.25">
      <c r="A1032">
        <v>6363098</v>
      </c>
      <c r="B1032" t="s">
        <v>4651</v>
      </c>
      <c r="C1032" t="str">
        <f>"9783319397528"</f>
        <v>9783319397528</v>
      </c>
      <c r="D1032" t="str">
        <f>"9783319397542"</f>
        <v>9783319397542</v>
      </c>
      <c r="E1032" t="s">
        <v>2905</v>
      </c>
      <c r="F1032" s="1">
        <v>42630</v>
      </c>
      <c r="G1032" t="s">
        <v>4652</v>
      </c>
      <c r="H1032" t="s">
        <v>64</v>
      </c>
      <c r="I1032" t="s">
        <v>4653</v>
      </c>
      <c r="L1032" t="s">
        <v>20</v>
      </c>
      <c r="M1032" t="s">
        <v>4654</v>
      </c>
    </row>
    <row r="1033" spans="1:13" x14ac:dyDescent="0.25">
      <c r="A1033">
        <v>6363101</v>
      </c>
      <c r="B1033" t="s">
        <v>4655</v>
      </c>
      <c r="C1033" t="str">
        <f>"9783319319025"</f>
        <v>9783319319025</v>
      </c>
      <c r="D1033" t="str">
        <f>"9783319319032"</f>
        <v>9783319319032</v>
      </c>
      <c r="E1033" t="s">
        <v>2905</v>
      </c>
      <c r="F1033" s="1">
        <v>42734</v>
      </c>
      <c r="G1033" t="s">
        <v>4656</v>
      </c>
      <c r="H1033" t="s">
        <v>2569</v>
      </c>
      <c r="I1033" t="s">
        <v>4657</v>
      </c>
      <c r="L1033" t="s">
        <v>20</v>
      </c>
      <c r="M1033" t="s">
        <v>4658</v>
      </c>
    </row>
    <row r="1034" spans="1:13" x14ac:dyDescent="0.25">
      <c r="A1034">
        <v>6363103</v>
      </c>
      <c r="B1034" t="s">
        <v>4659</v>
      </c>
      <c r="C1034" t="str">
        <f>"9783319454702"</f>
        <v>9783319454702</v>
      </c>
      <c r="D1034" t="str">
        <f>"9783319454719"</f>
        <v>9783319454719</v>
      </c>
      <c r="E1034" t="s">
        <v>2905</v>
      </c>
      <c r="F1034" s="1">
        <v>42655</v>
      </c>
      <c r="G1034" t="s">
        <v>4660</v>
      </c>
      <c r="H1034" t="s">
        <v>64</v>
      </c>
      <c r="I1034" t="s">
        <v>4661</v>
      </c>
      <c r="L1034" t="s">
        <v>20</v>
      </c>
      <c r="M1034" t="s">
        <v>4662</v>
      </c>
    </row>
    <row r="1035" spans="1:13" x14ac:dyDescent="0.25">
      <c r="A1035">
        <v>6363104</v>
      </c>
      <c r="B1035" t="s">
        <v>4663</v>
      </c>
      <c r="C1035" t="str">
        <f>"9783319165097"</f>
        <v>9783319165097</v>
      </c>
      <c r="D1035" t="str">
        <f>"9783319165103"</f>
        <v>9783319165103</v>
      </c>
      <c r="E1035" t="s">
        <v>2905</v>
      </c>
      <c r="F1035" s="1">
        <v>42166</v>
      </c>
      <c r="G1035" t="s">
        <v>4664</v>
      </c>
      <c r="H1035" t="s">
        <v>4665</v>
      </c>
      <c r="I1035" t="s">
        <v>4469</v>
      </c>
      <c r="J1035">
        <v>363.72850916200002</v>
      </c>
      <c r="L1035" t="s">
        <v>20</v>
      </c>
      <c r="M1035" t="s">
        <v>4666</v>
      </c>
    </row>
    <row r="1036" spans="1:13" x14ac:dyDescent="0.25">
      <c r="A1036">
        <v>6363108</v>
      </c>
      <c r="B1036" t="s">
        <v>4667</v>
      </c>
      <c r="C1036" t="str">
        <f>"9783030331566"</f>
        <v>9783030331566</v>
      </c>
      <c r="D1036" t="str">
        <f>"9783030331573"</f>
        <v>9783030331573</v>
      </c>
      <c r="E1036" t="s">
        <v>2905</v>
      </c>
      <c r="F1036" s="1">
        <v>44005</v>
      </c>
      <c r="G1036" t="s">
        <v>4668</v>
      </c>
      <c r="H1036" t="s">
        <v>2614</v>
      </c>
      <c r="I1036" t="s">
        <v>4669</v>
      </c>
      <c r="L1036" t="s">
        <v>20</v>
      </c>
      <c r="M1036" t="s">
        <v>4670</v>
      </c>
    </row>
    <row r="1037" spans="1:13" x14ac:dyDescent="0.25">
      <c r="A1037">
        <v>6363109</v>
      </c>
      <c r="B1037" t="s">
        <v>4671</v>
      </c>
      <c r="C1037" t="str">
        <f>"9783319263793"</f>
        <v>9783319263793</v>
      </c>
      <c r="D1037" t="str">
        <f>"9783319263809"</f>
        <v>9783319263809</v>
      </c>
      <c r="E1037" t="s">
        <v>2905</v>
      </c>
      <c r="F1037" s="1">
        <v>42369</v>
      </c>
      <c r="G1037" t="s">
        <v>4672</v>
      </c>
      <c r="H1037" t="s">
        <v>363</v>
      </c>
      <c r="I1037" t="s">
        <v>4529</v>
      </c>
      <c r="J1037">
        <v>378.05093799999997</v>
      </c>
      <c r="L1037" t="s">
        <v>20</v>
      </c>
      <c r="M1037" t="s">
        <v>4673</v>
      </c>
    </row>
    <row r="1038" spans="1:13" x14ac:dyDescent="0.25">
      <c r="A1038">
        <v>6363110</v>
      </c>
      <c r="B1038" t="s">
        <v>4674</v>
      </c>
      <c r="C1038" t="str">
        <f>"9783319397610"</f>
        <v>9783319397610</v>
      </c>
      <c r="D1038" t="str">
        <f>"9783319397634"</f>
        <v>9783319397634</v>
      </c>
      <c r="E1038" t="s">
        <v>2905</v>
      </c>
      <c r="F1038" s="1">
        <v>42720</v>
      </c>
      <c r="G1038" t="s">
        <v>4675</v>
      </c>
      <c r="H1038" t="s">
        <v>489</v>
      </c>
      <c r="I1038" t="s">
        <v>4676</v>
      </c>
      <c r="J1038">
        <v>304.84804000000003</v>
      </c>
      <c r="L1038" t="s">
        <v>20</v>
      </c>
      <c r="M1038" t="s">
        <v>4677</v>
      </c>
    </row>
    <row r="1039" spans="1:13" x14ac:dyDescent="0.25">
      <c r="A1039">
        <v>6363125</v>
      </c>
      <c r="B1039" t="s">
        <v>4678</v>
      </c>
      <c r="C1039" t="str">
        <f>"9783319446202"</f>
        <v>9783319446202</v>
      </c>
      <c r="D1039" t="str">
        <f>"9783319446219"</f>
        <v>9783319446219</v>
      </c>
      <c r="E1039" t="s">
        <v>2905</v>
      </c>
      <c r="F1039" s="1">
        <v>42769</v>
      </c>
      <c r="G1039" t="s">
        <v>4679</v>
      </c>
      <c r="H1039" t="s">
        <v>41</v>
      </c>
      <c r="I1039" t="s">
        <v>4680</v>
      </c>
      <c r="J1039">
        <v>339.20979999999997</v>
      </c>
      <c r="L1039" t="s">
        <v>20</v>
      </c>
      <c r="M1039" t="s">
        <v>4681</v>
      </c>
    </row>
    <row r="1040" spans="1:13" x14ac:dyDescent="0.25">
      <c r="A1040">
        <v>6363127</v>
      </c>
      <c r="B1040" t="s">
        <v>4682</v>
      </c>
      <c r="C1040" t="str">
        <f>"9783319091136"</f>
        <v>9783319091136</v>
      </c>
      <c r="D1040" t="str">
        <f>"9783319091143"</f>
        <v>9783319091143</v>
      </c>
      <c r="E1040" t="s">
        <v>2905</v>
      </c>
      <c r="F1040" s="1">
        <v>42026</v>
      </c>
      <c r="G1040" t="s">
        <v>4683</v>
      </c>
      <c r="H1040" t="s">
        <v>1178</v>
      </c>
      <c r="I1040" t="s">
        <v>4478</v>
      </c>
      <c r="L1040" t="s">
        <v>20</v>
      </c>
      <c r="M1040" t="s">
        <v>4684</v>
      </c>
    </row>
    <row r="1041" spans="1:13" x14ac:dyDescent="0.25">
      <c r="A1041">
        <v>6363131</v>
      </c>
      <c r="B1041" t="s">
        <v>4685</v>
      </c>
      <c r="C1041" t="str">
        <f>"9783319080536"</f>
        <v>9783319080536</v>
      </c>
      <c r="D1041" t="str">
        <f>"9783319080543"</f>
        <v>9783319080543</v>
      </c>
      <c r="E1041" t="s">
        <v>2905</v>
      </c>
      <c r="F1041" s="1">
        <v>41968</v>
      </c>
      <c r="G1041" t="s">
        <v>4686</v>
      </c>
      <c r="H1041" t="s">
        <v>363</v>
      </c>
      <c r="I1041" t="s">
        <v>4529</v>
      </c>
      <c r="L1041" t="s">
        <v>20</v>
      </c>
      <c r="M1041" t="s">
        <v>4687</v>
      </c>
    </row>
    <row r="1042" spans="1:13" x14ac:dyDescent="0.25">
      <c r="A1042">
        <v>6363132</v>
      </c>
      <c r="B1042" t="s">
        <v>4688</v>
      </c>
      <c r="C1042" t="str">
        <f>"9783319450193"</f>
        <v>9783319450193</v>
      </c>
      <c r="D1042" t="str">
        <f>"9783319450216"</f>
        <v>9783319450216</v>
      </c>
      <c r="E1042" t="s">
        <v>2905</v>
      </c>
      <c r="F1042" s="1">
        <v>42720</v>
      </c>
      <c r="G1042" t="s">
        <v>4689</v>
      </c>
      <c r="H1042" t="s">
        <v>4690</v>
      </c>
      <c r="I1042" t="s">
        <v>4691</v>
      </c>
      <c r="L1042" t="s">
        <v>20</v>
      </c>
      <c r="M1042" t="s">
        <v>4692</v>
      </c>
    </row>
    <row r="1043" spans="1:13" x14ac:dyDescent="0.25">
      <c r="A1043">
        <v>6363134</v>
      </c>
      <c r="B1043" t="s">
        <v>4693</v>
      </c>
      <c r="C1043" t="str">
        <f>"9783319175447"</f>
        <v>9783319175447</v>
      </c>
      <c r="D1043" t="str">
        <f>"9783319175454"</f>
        <v>9783319175454</v>
      </c>
      <c r="E1043" t="s">
        <v>2905</v>
      </c>
      <c r="F1043" s="1">
        <v>42312</v>
      </c>
      <c r="G1043" t="s">
        <v>4694</v>
      </c>
      <c r="H1043" t="s">
        <v>1056</v>
      </c>
      <c r="I1043" t="s">
        <v>4695</v>
      </c>
      <c r="L1043" t="s">
        <v>20</v>
      </c>
      <c r="M1043" t="s">
        <v>4696</v>
      </c>
    </row>
    <row r="1044" spans="1:13" x14ac:dyDescent="0.25">
      <c r="A1044">
        <v>6363136</v>
      </c>
      <c r="B1044" t="s">
        <v>4697</v>
      </c>
      <c r="C1044" t="str">
        <f>"9783030477004"</f>
        <v>9783030477004</v>
      </c>
      <c r="D1044" t="str">
        <f>"9783030477011"</f>
        <v>9783030477011</v>
      </c>
      <c r="E1044" t="s">
        <v>2905</v>
      </c>
      <c r="F1044" s="1">
        <v>44001</v>
      </c>
      <c r="G1044" t="s">
        <v>4698</v>
      </c>
      <c r="H1044" t="s">
        <v>266</v>
      </c>
      <c r="I1044" t="s">
        <v>4699</v>
      </c>
      <c r="L1044" t="s">
        <v>20</v>
      </c>
      <c r="M1044" t="s">
        <v>4700</v>
      </c>
    </row>
    <row r="1045" spans="1:13" x14ac:dyDescent="0.25">
      <c r="A1045">
        <v>6363137</v>
      </c>
      <c r="B1045" t="s">
        <v>4701</v>
      </c>
      <c r="C1045" t="str">
        <f>"9783319412511"</f>
        <v>9783319412511</v>
      </c>
      <c r="D1045" t="str">
        <f>"9783319412528"</f>
        <v>9783319412528</v>
      </c>
      <c r="E1045" t="s">
        <v>2905</v>
      </c>
      <c r="F1045" s="1">
        <v>42643</v>
      </c>
      <c r="G1045" t="s">
        <v>4702</v>
      </c>
      <c r="H1045" t="s">
        <v>363</v>
      </c>
      <c r="I1045" t="s">
        <v>4235</v>
      </c>
      <c r="J1045">
        <v>371.10199999999998</v>
      </c>
      <c r="L1045" t="s">
        <v>20</v>
      </c>
      <c r="M1045" t="s">
        <v>4703</v>
      </c>
    </row>
    <row r="1046" spans="1:13" x14ac:dyDescent="0.25">
      <c r="A1046">
        <v>6363139</v>
      </c>
      <c r="B1046" t="s">
        <v>4704</v>
      </c>
      <c r="C1046" t="str">
        <f>"9783319169248"</f>
        <v>9783319169248</v>
      </c>
      <c r="D1046" t="str">
        <f>"9783319169255"</f>
        <v>9783319169255</v>
      </c>
      <c r="E1046" t="s">
        <v>2905</v>
      </c>
      <c r="F1046" s="1">
        <v>42200</v>
      </c>
      <c r="G1046" t="s">
        <v>4705</v>
      </c>
      <c r="H1046" t="s">
        <v>712</v>
      </c>
      <c r="I1046" t="s">
        <v>4706</v>
      </c>
      <c r="L1046" t="s">
        <v>20</v>
      </c>
      <c r="M1046" t="s">
        <v>4707</v>
      </c>
    </row>
    <row r="1047" spans="1:13" x14ac:dyDescent="0.25">
      <c r="A1047">
        <v>6363140</v>
      </c>
      <c r="B1047" t="s">
        <v>4708</v>
      </c>
      <c r="C1047" t="str">
        <f>"9783319184272"</f>
        <v>9783319184272</v>
      </c>
      <c r="D1047" t="str">
        <f>"9783319184289"</f>
        <v>9783319184289</v>
      </c>
      <c r="E1047" t="s">
        <v>2905</v>
      </c>
      <c r="F1047" s="1">
        <v>42165</v>
      </c>
      <c r="G1047" t="s">
        <v>4709</v>
      </c>
      <c r="H1047" t="s">
        <v>266</v>
      </c>
      <c r="I1047" t="s">
        <v>4710</v>
      </c>
      <c r="L1047" t="s">
        <v>20</v>
      </c>
      <c r="M1047" t="s">
        <v>4711</v>
      </c>
    </row>
    <row r="1048" spans="1:13" x14ac:dyDescent="0.25">
      <c r="A1048">
        <v>6363143</v>
      </c>
      <c r="B1048" t="s">
        <v>4712</v>
      </c>
      <c r="C1048" t="str">
        <f>"9789811565397"</f>
        <v>9789811565397</v>
      </c>
      <c r="D1048" t="str">
        <f>"9789811565403"</f>
        <v>9789811565403</v>
      </c>
      <c r="E1048" t="s">
        <v>4099</v>
      </c>
      <c r="F1048" s="1">
        <v>44107</v>
      </c>
      <c r="G1048" t="s">
        <v>4713</v>
      </c>
      <c r="H1048" t="s">
        <v>169</v>
      </c>
      <c r="I1048" t="s">
        <v>4714</v>
      </c>
      <c r="J1048">
        <v>339.351</v>
      </c>
      <c r="L1048" t="s">
        <v>20</v>
      </c>
      <c r="M1048" t="s">
        <v>4715</v>
      </c>
    </row>
    <row r="1049" spans="1:13" x14ac:dyDescent="0.25">
      <c r="A1049">
        <v>6363147</v>
      </c>
      <c r="B1049" t="s">
        <v>4716</v>
      </c>
      <c r="C1049" t="str">
        <f>"9783319280639"</f>
        <v>9783319280639</v>
      </c>
      <c r="D1049" t="str">
        <f>"9783319280646"</f>
        <v>9783319280646</v>
      </c>
      <c r="E1049" t="s">
        <v>2905</v>
      </c>
      <c r="F1049" s="1">
        <v>42484</v>
      </c>
      <c r="G1049" t="s">
        <v>4717</v>
      </c>
      <c r="H1049" t="s">
        <v>363</v>
      </c>
      <c r="I1049" t="s">
        <v>4235</v>
      </c>
      <c r="J1049">
        <v>372.4</v>
      </c>
      <c r="L1049" t="s">
        <v>20</v>
      </c>
      <c r="M1049" t="s">
        <v>4718</v>
      </c>
    </row>
    <row r="1050" spans="1:13" x14ac:dyDescent="0.25">
      <c r="A1050">
        <v>6363149</v>
      </c>
      <c r="B1050" t="s">
        <v>4719</v>
      </c>
      <c r="C1050" t="str">
        <f>"9783319290140"</f>
        <v>9783319290140</v>
      </c>
      <c r="D1050" t="str">
        <f>"9783319290164"</f>
        <v>9783319290164</v>
      </c>
      <c r="E1050" t="s">
        <v>2905</v>
      </c>
      <c r="F1050" s="1">
        <v>42489</v>
      </c>
      <c r="G1050" t="s">
        <v>4720</v>
      </c>
      <c r="H1050" t="s">
        <v>4721</v>
      </c>
      <c r="I1050" t="s">
        <v>4235</v>
      </c>
      <c r="J1050">
        <v>1.4</v>
      </c>
      <c r="L1050" t="s">
        <v>20</v>
      </c>
      <c r="M1050" t="s">
        <v>4722</v>
      </c>
    </row>
    <row r="1051" spans="1:13" x14ac:dyDescent="0.25">
      <c r="A1051">
        <v>6363154</v>
      </c>
      <c r="B1051" t="s">
        <v>4723</v>
      </c>
      <c r="C1051" t="str">
        <f>"9783319504681"</f>
        <v>9783319504681</v>
      </c>
      <c r="D1051" t="str">
        <f>"9783319504698"</f>
        <v>9783319504698</v>
      </c>
      <c r="E1051" t="s">
        <v>2905</v>
      </c>
      <c r="F1051" s="1">
        <v>42734</v>
      </c>
      <c r="G1051" t="s">
        <v>4724</v>
      </c>
      <c r="H1051" t="s">
        <v>4725</v>
      </c>
      <c r="I1051" t="s">
        <v>4726</v>
      </c>
      <c r="J1051">
        <v>333.91096329999999</v>
      </c>
      <c r="L1051" t="s">
        <v>20</v>
      </c>
      <c r="M1051" t="s">
        <v>4727</v>
      </c>
    </row>
    <row r="1052" spans="1:13" x14ac:dyDescent="0.25">
      <c r="A1052">
        <v>6363157</v>
      </c>
      <c r="B1052" t="s">
        <v>4728</v>
      </c>
      <c r="C1052" t="str">
        <f>"9783319255576"</f>
        <v>9783319255576</v>
      </c>
      <c r="D1052" t="str">
        <f>"9783319255590"</f>
        <v>9783319255590</v>
      </c>
      <c r="E1052" t="s">
        <v>2905</v>
      </c>
      <c r="F1052" s="1">
        <v>42388</v>
      </c>
      <c r="G1052" t="s">
        <v>4729</v>
      </c>
      <c r="H1052" t="s">
        <v>1624</v>
      </c>
      <c r="I1052" t="s">
        <v>4730</v>
      </c>
      <c r="L1052" t="s">
        <v>20</v>
      </c>
      <c r="M1052" t="s">
        <v>4731</v>
      </c>
    </row>
    <row r="1053" spans="1:13" x14ac:dyDescent="0.25">
      <c r="A1053">
        <v>6363163</v>
      </c>
      <c r="B1053" t="s">
        <v>4732</v>
      </c>
      <c r="C1053" t="str">
        <f>"9783030390655"</f>
        <v>9783030390655</v>
      </c>
      <c r="D1053" t="str">
        <f>"9783030390662"</f>
        <v>9783030390662</v>
      </c>
      <c r="E1053" t="s">
        <v>2905</v>
      </c>
      <c r="F1053" s="1">
        <v>43992</v>
      </c>
      <c r="G1053" t="s">
        <v>4733</v>
      </c>
      <c r="H1053" t="s">
        <v>30</v>
      </c>
      <c r="I1053" t="s">
        <v>4734</v>
      </c>
      <c r="L1053" t="s">
        <v>20</v>
      </c>
      <c r="M1053" t="s">
        <v>4735</v>
      </c>
    </row>
    <row r="1054" spans="1:13" x14ac:dyDescent="0.25">
      <c r="A1054">
        <v>6363164</v>
      </c>
      <c r="B1054" t="s">
        <v>4736</v>
      </c>
      <c r="C1054" t="str">
        <f>"9783319000251"</f>
        <v>9783319000251</v>
      </c>
      <c r="D1054" t="str">
        <f>"9783319000268"</f>
        <v>9783319000268</v>
      </c>
      <c r="E1054" t="s">
        <v>2905</v>
      </c>
      <c r="F1054" s="1">
        <v>41649</v>
      </c>
      <c r="G1054" t="s">
        <v>4737</v>
      </c>
      <c r="H1054" t="s">
        <v>2623</v>
      </c>
      <c r="I1054" t="s">
        <v>4495</v>
      </c>
      <c r="L1054" t="s">
        <v>20</v>
      </c>
      <c r="M1054" t="s">
        <v>4738</v>
      </c>
    </row>
    <row r="1055" spans="1:13" x14ac:dyDescent="0.25">
      <c r="A1055">
        <v>6363170</v>
      </c>
      <c r="B1055" t="s">
        <v>4739</v>
      </c>
      <c r="C1055" t="str">
        <f>"9783319201696"</f>
        <v>9783319201696</v>
      </c>
      <c r="D1055" t="str">
        <f>"9783319201702"</f>
        <v>9783319201702</v>
      </c>
      <c r="E1055" t="s">
        <v>2905</v>
      </c>
      <c r="F1055" s="1">
        <v>42704</v>
      </c>
      <c r="G1055" t="s">
        <v>4740</v>
      </c>
      <c r="H1055" t="s">
        <v>712</v>
      </c>
      <c r="I1055" t="s">
        <v>4706</v>
      </c>
      <c r="L1055" t="s">
        <v>20</v>
      </c>
      <c r="M1055" t="s">
        <v>4741</v>
      </c>
    </row>
    <row r="1056" spans="1:13" x14ac:dyDescent="0.25">
      <c r="A1056">
        <v>6363174</v>
      </c>
      <c r="B1056" t="s">
        <v>4742</v>
      </c>
      <c r="C1056" t="str">
        <f>"9783030422738"</f>
        <v>9783030422738</v>
      </c>
      <c r="D1056" t="str">
        <f>"9783030422745"</f>
        <v>9783030422745</v>
      </c>
      <c r="E1056" t="s">
        <v>2905</v>
      </c>
      <c r="F1056" s="1">
        <v>43994</v>
      </c>
      <c r="G1056" t="s">
        <v>4743</v>
      </c>
      <c r="H1056" t="s">
        <v>4564</v>
      </c>
      <c r="I1056" t="s">
        <v>4744</v>
      </c>
      <c r="L1056" t="s">
        <v>20</v>
      </c>
      <c r="M1056" t="s">
        <v>4745</v>
      </c>
    </row>
    <row r="1057" spans="1:13" x14ac:dyDescent="0.25">
      <c r="A1057">
        <v>6367471</v>
      </c>
      <c r="B1057" t="s">
        <v>4746</v>
      </c>
      <c r="C1057" t="str">
        <f>"9783319575315"</f>
        <v>9783319575315</v>
      </c>
      <c r="D1057" t="str">
        <f>"9783319575322"</f>
        <v>9783319575322</v>
      </c>
      <c r="E1057" t="s">
        <v>2905</v>
      </c>
      <c r="F1057" s="1">
        <v>42915</v>
      </c>
      <c r="G1057" t="s">
        <v>4747</v>
      </c>
      <c r="H1057" t="s">
        <v>4748</v>
      </c>
      <c r="I1057" t="s">
        <v>4749</v>
      </c>
      <c r="J1057">
        <v>998</v>
      </c>
      <c r="L1057" t="s">
        <v>20</v>
      </c>
      <c r="M1057" t="s">
        <v>4750</v>
      </c>
    </row>
    <row r="1058" spans="1:13" x14ac:dyDescent="0.25">
      <c r="A1058">
        <v>6367798</v>
      </c>
      <c r="B1058" t="s">
        <v>4751</v>
      </c>
      <c r="C1058" t="str">
        <f>"9783319031361"</f>
        <v>9783319031361</v>
      </c>
      <c r="D1058" t="str">
        <f>"9783319031378"</f>
        <v>9783319031378</v>
      </c>
      <c r="E1058" t="s">
        <v>2905</v>
      </c>
      <c r="F1058" s="1">
        <v>41626</v>
      </c>
      <c r="G1058" t="s">
        <v>4752</v>
      </c>
      <c r="H1058" t="s">
        <v>1753</v>
      </c>
      <c r="I1058" t="s">
        <v>4753</v>
      </c>
      <c r="L1058" t="s">
        <v>20</v>
      </c>
      <c r="M1058" t="s">
        <v>4754</v>
      </c>
    </row>
    <row r="1059" spans="1:13" x14ac:dyDescent="0.25">
      <c r="A1059">
        <v>6367905</v>
      </c>
      <c r="B1059" t="s">
        <v>4755</v>
      </c>
      <c r="C1059" t="str">
        <f>"9783319038643"</f>
        <v>9783319038643</v>
      </c>
      <c r="D1059" t="str">
        <f>"9783319038650"</f>
        <v>9783319038650</v>
      </c>
      <c r="E1059" t="s">
        <v>2905</v>
      </c>
      <c r="F1059" s="1">
        <v>41753</v>
      </c>
      <c r="G1059" t="s">
        <v>4756</v>
      </c>
      <c r="H1059" t="s">
        <v>83</v>
      </c>
      <c r="I1059" t="s">
        <v>4615</v>
      </c>
      <c r="J1059">
        <v>363.73849799999999</v>
      </c>
      <c r="L1059" t="s">
        <v>20</v>
      </c>
      <c r="M1059" t="s">
        <v>4757</v>
      </c>
    </row>
    <row r="1060" spans="1:13" x14ac:dyDescent="0.25">
      <c r="A1060">
        <v>6367927</v>
      </c>
      <c r="B1060" t="s">
        <v>4758</v>
      </c>
      <c r="C1060" t="str">
        <f>"9783319559810"</f>
        <v>9783319559810</v>
      </c>
      <c r="D1060" t="str">
        <f>"9783319559827"</f>
        <v>9783319559827</v>
      </c>
      <c r="E1060" t="s">
        <v>2905</v>
      </c>
      <c r="F1060" s="1">
        <v>42969</v>
      </c>
      <c r="G1060" t="s">
        <v>4759</v>
      </c>
      <c r="H1060" t="s">
        <v>2614</v>
      </c>
      <c r="I1060" t="s">
        <v>4573</v>
      </c>
      <c r="J1060">
        <v>577.53</v>
      </c>
      <c r="L1060" t="s">
        <v>20</v>
      </c>
      <c r="M1060" t="s">
        <v>4760</v>
      </c>
    </row>
    <row r="1061" spans="1:13" x14ac:dyDescent="0.25">
      <c r="A1061">
        <v>6367944</v>
      </c>
      <c r="B1061" t="s">
        <v>4761</v>
      </c>
      <c r="C1061" t="str">
        <f>"9783319002323"</f>
        <v>9783319002323</v>
      </c>
      <c r="D1061" t="str">
        <f>"9783319002330"</f>
        <v>9783319002330</v>
      </c>
      <c r="E1061" t="s">
        <v>2905</v>
      </c>
      <c r="F1061" s="1">
        <v>41564</v>
      </c>
      <c r="G1061" t="s">
        <v>4762</v>
      </c>
      <c r="H1061" t="s">
        <v>2597</v>
      </c>
      <c r="I1061" t="s">
        <v>4560</v>
      </c>
      <c r="L1061" t="s">
        <v>20</v>
      </c>
      <c r="M1061" t="s">
        <v>4763</v>
      </c>
    </row>
    <row r="1062" spans="1:13" x14ac:dyDescent="0.25">
      <c r="A1062">
        <v>6367945</v>
      </c>
      <c r="B1062" t="s">
        <v>4764</v>
      </c>
      <c r="C1062" t="str">
        <f>"9783319262987"</f>
        <v>9783319262987</v>
      </c>
      <c r="D1062" t="str">
        <f>"9783319263007"</f>
        <v>9783319263007</v>
      </c>
      <c r="E1062" t="s">
        <v>2905</v>
      </c>
      <c r="F1062" s="1">
        <v>42548</v>
      </c>
      <c r="G1062" t="s">
        <v>4765</v>
      </c>
      <c r="H1062" t="s">
        <v>4180</v>
      </c>
      <c r="I1062" t="s">
        <v>4766</v>
      </c>
      <c r="L1062" t="s">
        <v>20</v>
      </c>
      <c r="M1062" t="s">
        <v>4767</v>
      </c>
    </row>
    <row r="1063" spans="1:13" x14ac:dyDescent="0.25">
      <c r="A1063">
        <v>6367947</v>
      </c>
      <c r="B1063" t="s">
        <v>4768</v>
      </c>
      <c r="C1063" t="str">
        <f>"9783319412849"</f>
        <v>9783319412849</v>
      </c>
      <c r="D1063" t="str">
        <f>"9783319412856"</f>
        <v>9783319412856</v>
      </c>
      <c r="E1063" t="s">
        <v>2905</v>
      </c>
      <c r="F1063" s="1">
        <v>42626</v>
      </c>
      <c r="G1063" t="s">
        <v>4769</v>
      </c>
      <c r="H1063" t="s">
        <v>2569</v>
      </c>
      <c r="I1063" t="s">
        <v>4770</v>
      </c>
      <c r="L1063" t="s">
        <v>20</v>
      </c>
      <c r="M1063" t="s">
        <v>4771</v>
      </c>
    </row>
    <row r="1064" spans="1:13" x14ac:dyDescent="0.25">
      <c r="A1064">
        <v>6367948</v>
      </c>
      <c r="B1064" t="s">
        <v>4772</v>
      </c>
      <c r="C1064" t="str">
        <f>"9783030493912"</f>
        <v>9783030493912</v>
      </c>
      <c r="D1064" t="str">
        <f>"9783030493929"</f>
        <v>9783030493929</v>
      </c>
      <c r="E1064" t="s">
        <v>2905</v>
      </c>
      <c r="F1064" s="1">
        <v>43979</v>
      </c>
      <c r="G1064" t="s">
        <v>4773</v>
      </c>
      <c r="H1064" t="s">
        <v>712</v>
      </c>
      <c r="I1064" t="s">
        <v>4774</v>
      </c>
      <c r="L1064" t="s">
        <v>20</v>
      </c>
      <c r="M1064" t="s">
        <v>4775</v>
      </c>
    </row>
    <row r="1065" spans="1:13" x14ac:dyDescent="0.25">
      <c r="A1065">
        <v>6367949</v>
      </c>
      <c r="B1065" t="s">
        <v>4776</v>
      </c>
      <c r="C1065" t="str">
        <f>"9783319413020"</f>
        <v>9783319413020</v>
      </c>
      <c r="D1065" t="str">
        <f>"9783319413044"</f>
        <v>9783319413044</v>
      </c>
      <c r="E1065" t="s">
        <v>2905</v>
      </c>
      <c r="F1065" s="1">
        <v>43000</v>
      </c>
      <c r="G1065" t="s">
        <v>4777</v>
      </c>
      <c r="H1065" t="s">
        <v>1753</v>
      </c>
      <c r="I1065" t="s">
        <v>4609</v>
      </c>
      <c r="L1065" t="s">
        <v>20</v>
      </c>
      <c r="M1065" t="s">
        <v>4778</v>
      </c>
    </row>
    <row r="1066" spans="1:13" x14ac:dyDescent="0.25">
      <c r="A1066">
        <v>6367961</v>
      </c>
      <c r="B1066" t="s">
        <v>4779</v>
      </c>
      <c r="C1066" t="str">
        <f>"9783319235752"</f>
        <v>9783319235752</v>
      </c>
      <c r="D1066" t="str">
        <f>"9783319235769"</f>
        <v>9783319235769</v>
      </c>
      <c r="E1066" t="s">
        <v>2905</v>
      </c>
      <c r="F1066" s="1">
        <v>42620</v>
      </c>
      <c r="G1066" t="s">
        <v>4780</v>
      </c>
      <c r="H1066" t="s">
        <v>4781</v>
      </c>
      <c r="I1066" t="s">
        <v>4782</v>
      </c>
      <c r="J1066">
        <v>333.91039999999998</v>
      </c>
      <c r="L1066" t="s">
        <v>20</v>
      </c>
      <c r="M1066" t="s">
        <v>4783</v>
      </c>
    </row>
    <row r="1067" spans="1:13" x14ac:dyDescent="0.25">
      <c r="A1067">
        <v>6367962</v>
      </c>
      <c r="B1067" t="s">
        <v>4784</v>
      </c>
      <c r="C1067" t="str">
        <f>"9783319582948"</f>
        <v>9783319582948</v>
      </c>
      <c r="D1067" t="str">
        <f>"9783319582955"</f>
        <v>9783319582955</v>
      </c>
      <c r="E1067" t="s">
        <v>2905</v>
      </c>
      <c r="F1067" s="1">
        <v>42923</v>
      </c>
      <c r="G1067" t="s">
        <v>4785</v>
      </c>
      <c r="H1067" t="s">
        <v>16</v>
      </c>
      <c r="I1067" t="s">
        <v>4786</v>
      </c>
      <c r="J1067">
        <v>111.6</v>
      </c>
      <c r="L1067" t="s">
        <v>20</v>
      </c>
      <c r="M1067" t="s">
        <v>4787</v>
      </c>
    </row>
    <row r="1068" spans="1:13" x14ac:dyDescent="0.25">
      <c r="A1068">
        <v>6367968</v>
      </c>
      <c r="B1068" t="s">
        <v>4788</v>
      </c>
      <c r="C1068" t="str">
        <f>"9783319647302"</f>
        <v>9783319647302</v>
      </c>
      <c r="D1068" t="str">
        <f>"9783319647319"</f>
        <v>9783319647319</v>
      </c>
      <c r="E1068" t="s">
        <v>2905</v>
      </c>
      <c r="F1068" s="1">
        <v>43082</v>
      </c>
      <c r="G1068" t="s">
        <v>4789</v>
      </c>
      <c r="H1068" t="s">
        <v>4180</v>
      </c>
      <c r="I1068" t="s">
        <v>4790</v>
      </c>
      <c r="L1068" t="s">
        <v>20</v>
      </c>
      <c r="M1068" t="s">
        <v>4791</v>
      </c>
    </row>
    <row r="1069" spans="1:13" x14ac:dyDescent="0.25">
      <c r="A1069">
        <v>6367970</v>
      </c>
      <c r="B1069" t="s">
        <v>4792</v>
      </c>
      <c r="C1069" t="str">
        <f>"9783319254722"</f>
        <v>9783319254722</v>
      </c>
      <c r="D1069" t="str">
        <f>"9783319254746"</f>
        <v>9783319254746</v>
      </c>
      <c r="E1069" t="s">
        <v>2905</v>
      </c>
      <c r="F1069" s="1">
        <v>42476</v>
      </c>
      <c r="G1069" t="s">
        <v>4793</v>
      </c>
      <c r="H1069" t="s">
        <v>4794</v>
      </c>
      <c r="I1069" t="s">
        <v>4795</v>
      </c>
      <c r="J1069">
        <v>573.89</v>
      </c>
      <c r="L1069" t="s">
        <v>20</v>
      </c>
      <c r="M1069" t="s">
        <v>4796</v>
      </c>
    </row>
    <row r="1070" spans="1:13" x14ac:dyDescent="0.25">
      <c r="A1070">
        <v>6368222</v>
      </c>
      <c r="B1070" t="s">
        <v>4797</v>
      </c>
      <c r="C1070" t="str">
        <f>"9781783745760"</f>
        <v>9781783745760</v>
      </c>
      <c r="D1070" t="str">
        <f>"9781783745777"</f>
        <v>9781783745777</v>
      </c>
      <c r="E1070" t="s">
        <v>2270</v>
      </c>
      <c r="F1070" s="1">
        <v>44085</v>
      </c>
      <c r="G1070" t="s">
        <v>4798</v>
      </c>
      <c r="H1070" t="s">
        <v>70</v>
      </c>
      <c r="L1070" t="s">
        <v>20</v>
      </c>
      <c r="M1070" t="s">
        <v>4799</v>
      </c>
    </row>
    <row r="1071" spans="1:13" x14ac:dyDescent="0.25">
      <c r="A1071">
        <v>6368223</v>
      </c>
      <c r="B1071" t="s">
        <v>4800</v>
      </c>
      <c r="C1071" t="str">
        <f>"9781800640061"</f>
        <v>9781800640061</v>
      </c>
      <c r="D1071" t="str">
        <f>"9781800640078"</f>
        <v>9781800640078</v>
      </c>
      <c r="E1071" t="s">
        <v>2270</v>
      </c>
      <c r="F1071" s="1">
        <v>44092</v>
      </c>
      <c r="G1071" t="s">
        <v>4092</v>
      </c>
      <c r="H1071" t="s">
        <v>4093</v>
      </c>
      <c r="L1071" t="s">
        <v>20</v>
      </c>
      <c r="M1071" t="s">
        <v>4801</v>
      </c>
    </row>
    <row r="1072" spans="1:13" x14ac:dyDescent="0.25">
      <c r="A1072">
        <v>6368224</v>
      </c>
      <c r="B1072" t="s">
        <v>4802</v>
      </c>
      <c r="C1072" t="str">
        <f>"9781783749881"</f>
        <v>9781783749881</v>
      </c>
      <c r="D1072" t="str">
        <f>"9781783749898"</f>
        <v>9781783749898</v>
      </c>
      <c r="E1072" t="s">
        <v>2270</v>
      </c>
      <c r="F1072" s="1">
        <v>44085</v>
      </c>
      <c r="G1072" t="s">
        <v>4803</v>
      </c>
      <c r="H1072" t="s">
        <v>64</v>
      </c>
      <c r="L1072" t="s">
        <v>20</v>
      </c>
      <c r="M1072" t="s">
        <v>4804</v>
      </c>
    </row>
    <row r="1073" spans="1:13" x14ac:dyDescent="0.25">
      <c r="A1073">
        <v>6369353</v>
      </c>
      <c r="B1073" t="s">
        <v>4805</v>
      </c>
      <c r="C1073" t="str">
        <f>"9783319689654"</f>
        <v>9783319689654</v>
      </c>
      <c r="D1073" t="str">
        <f>"9783319689661"</f>
        <v>9783319689661</v>
      </c>
      <c r="E1073" t="s">
        <v>2905</v>
      </c>
      <c r="F1073" s="1">
        <v>43083</v>
      </c>
      <c r="G1073" t="s">
        <v>4806</v>
      </c>
      <c r="H1073" t="s">
        <v>30</v>
      </c>
      <c r="I1073" t="s">
        <v>4807</v>
      </c>
      <c r="J1073">
        <v>320.52999999999997</v>
      </c>
      <c r="L1073" t="s">
        <v>20</v>
      </c>
      <c r="M1073" t="s">
        <v>4808</v>
      </c>
    </row>
    <row r="1074" spans="1:13" x14ac:dyDescent="0.25">
      <c r="A1074">
        <v>6369355</v>
      </c>
      <c r="B1074" t="s">
        <v>4809</v>
      </c>
      <c r="C1074" t="str">
        <f>"9783319612904"</f>
        <v>9783319612904</v>
      </c>
      <c r="D1074" t="str">
        <f>"9783319612911"</f>
        <v>9783319612911</v>
      </c>
      <c r="E1074" t="s">
        <v>2905</v>
      </c>
      <c r="F1074" s="1">
        <v>43045</v>
      </c>
      <c r="G1074" t="s">
        <v>4810</v>
      </c>
      <c r="H1074" t="s">
        <v>2597</v>
      </c>
      <c r="I1074" t="s">
        <v>4255</v>
      </c>
      <c r="J1074">
        <v>362.1</v>
      </c>
      <c r="L1074" t="s">
        <v>20</v>
      </c>
      <c r="M1074" t="s">
        <v>4811</v>
      </c>
    </row>
    <row r="1075" spans="1:13" x14ac:dyDescent="0.25">
      <c r="A1075">
        <v>6369359</v>
      </c>
      <c r="B1075" t="s">
        <v>4812</v>
      </c>
      <c r="C1075" t="str">
        <f>"9783319574950"</f>
        <v>9783319574950</v>
      </c>
      <c r="D1075" t="str">
        <f>"9783319574967"</f>
        <v>9783319574967</v>
      </c>
      <c r="E1075" t="s">
        <v>2905</v>
      </c>
      <c r="F1075" s="1">
        <v>43010</v>
      </c>
      <c r="G1075" t="s">
        <v>4813</v>
      </c>
      <c r="H1075" t="s">
        <v>2614</v>
      </c>
      <c r="I1075" t="s">
        <v>4573</v>
      </c>
      <c r="L1075" t="s">
        <v>20</v>
      </c>
      <c r="M1075" t="s">
        <v>4814</v>
      </c>
    </row>
    <row r="1076" spans="1:13" x14ac:dyDescent="0.25">
      <c r="A1076">
        <v>6369363</v>
      </c>
      <c r="B1076" t="s">
        <v>4815</v>
      </c>
      <c r="C1076" t="str">
        <f>"9783319567136"</f>
        <v>9783319567136</v>
      </c>
      <c r="D1076" t="str">
        <f>"9783319567143"</f>
        <v>9783319567143</v>
      </c>
      <c r="E1076" t="s">
        <v>2905</v>
      </c>
      <c r="F1076" s="1">
        <v>43063</v>
      </c>
      <c r="G1076" t="s">
        <v>4816</v>
      </c>
      <c r="H1076" t="s">
        <v>266</v>
      </c>
      <c r="I1076" t="s">
        <v>4619</v>
      </c>
      <c r="J1076">
        <v>616.89004109033999</v>
      </c>
      <c r="L1076" t="s">
        <v>20</v>
      </c>
      <c r="M1076" t="s">
        <v>4817</v>
      </c>
    </row>
    <row r="1077" spans="1:13" x14ac:dyDescent="0.25">
      <c r="A1077">
        <v>6369364</v>
      </c>
      <c r="B1077" t="s">
        <v>4818</v>
      </c>
      <c r="C1077" t="str">
        <f>"9783319580197"</f>
        <v>9783319580197</v>
      </c>
      <c r="D1077" t="str">
        <f>"9783319580203"</f>
        <v>9783319580203</v>
      </c>
      <c r="E1077" t="s">
        <v>2905</v>
      </c>
      <c r="F1077" s="1">
        <v>42884</v>
      </c>
      <c r="G1077" t="s">
        <v>4819</v>
      </c>
      <c r="H1077" t="s">
        <v>16</v>
      </c>
      <c r="I1077" t="s">
        <v>4820</v>
      </c>
      <c r="J1077">
        <v>128</v>
      </c>
      <c r="L1077" t="s">
        <v>20</v>
      </c>
      <c r="M1077" t="s">
        <v>4821</v>
      </c>
    </row>
    <row r="1078" spans="1:13" x14ac:dyDescent="0.25">
      <c r="A1078">
        <v>6369366</v>
      </c>
      <c r="B1078" t="s">
        <v>4822</v>
      </c>
      <c r="C1078" t="str">
        <f>"9783319580418"</f>
        <v>9783319580418</v>
      </c>
      <c r="D1078" t="str">
        <f>"9783319580425"</f>
        <v>9783319580425</v>
      </c>
      <c r="E1078" t="s">
        <v>2905</v>
      </c>
      <c r="F1078" s="1">
        <v>42997</v>
      </c>
      <c r="G1078" t="s">
        <v>4823</v>
      </c>
      <c r="H1078" t="s">
        <v>169</v>
      </c>
      <c r="I1078" t="s">
        <v>4680</v>
      </c>
      <c r="J1078">
        <v>338.94600000000003</v>
      </c>
      <c r="L1078" t="s">
        <v>20</v>
      </c>
      <c r="M1078" t="s">
        <v>4824</v>
      </c>
    </row>
    <row r="1079" spans="1:13" x14ac:dyDescent="0.25">
      <c r="A1079">
        <v>6369367</v>
      </c>
      <c r="B1079" t="s">
        <v>4825</v>
      </c>
      <c r="C1079" t="str">
        <f>"9783319655260"</f>
        <v>9783319655260</v>
      </c>
      <c r="D1079" t="str">
        <f>"9783319655277"</f>
        <v>9783319655277</v>
      </c>
      <c r="E1079" t="s">
        <v>2905</v>
      </c>
      <c r="F1079" s="1">
        <v>43031</v>
      </c>
      <c r="G1079" t="s">
        <v>4826</v>
      </c>
      <c r="H1079" t="s">
        <v>4347</v>
      </c>
      <c r="I1079" t="s">
        <v>4520</v>
      </c>
      <c r="L1079" t="s">
        <v>20</v>
      </c>
      <c r="M1079" t="s">
        <v>4827</v>
      </c>
    </row>
    <row r="1080" spans="1:13" x14ac:dyDescent="0.25">
      <c r="A1080">
        <v>6369374</v>
      </c>
      <c r="B1080" t="s">
        <v>4828</v>
      </c>
      <c r="C1080" t="str">
        <f>"9783319553801"</f>
        <v>9783319553801</v>
      </c>
      <c r="D1080" t="str">
        <f>"9783319553818"</f>
        <v>9783319553818</v>
      </c>
      <c r="E1080" t="s">
        <v>2905</v>
      </c>
      <c r="F1080" s="1">
        <v>42985</v>
      </c>
      <c r="G1080" t="s">
        <v>4829</v>
      </c>
      <c r="H1080" t="s">
        <v>64</v>
      </c>
      <c r="I1080" t="s">
        <v>2908</v>
      </c>
      <c r="J1080">
        <v>361.94799999999998</v>
      </c>
      <c r="L1080" t="s">
        <v>20</v>
      </c>
      <c r="M1080" t="s">
        <v>4830</v>
      </c>
    </row>
    <row r="1081" spans="1:13" x14ac:dyDescent="0.25">
      <c r="A1081">
        <v>6369633</v>
      </c>
      <c r="B1081" t="s">
        <v>4831</v>
      </c>
      <c r="C1081" t="str">
        <f>"9783030509903"</f>
        <v>9783030509903</v>
      </c>
      <c r="D1081" t="str">
        <f>"9783030509910"</f>
        <v>9783030509910</v>
      </c>
      <c r="E1081" t="s">
        <v>2905</v>
      </c>
      <c r="F1081" s="1">
        <v>44112</v>
      </c>
      <c r="G1081" t="s">
        <v>4832</v>
      </c>
      <c r="H1081" t="s">
        <v>1283</v>
      </c>
      <c r="I1081" t="s">
        <v>4833</v>
      </c>
      <c r="L1081" t="s">
        <v>20</v>
      </c>
      <c r="M1081" t="s">
        <v>4834</v>
      </c>
    </row>
    <row r="1082" spans="1:13" x14ac:dyDescent="0.25">
      <c r="A1082">
        <v>6371484</v>
      </c>
      <c r="B1082" t="s">
        <v>4835</v>
      </c>
      <c r="C1082" t="str">
        <f>"9781780648972"</f>
        <v>9781780648972</v>
      </c>
      <c r="D1082" t="str">
        <f>"9781780648996"</f>
        <v>9781780648996</v>
      </c>
      <c r="E1082" t="s">
        <v>4836</v>
      </c>
      <c r="F1082" s="1">
        <v>42942</v>
      </c>
      <c r="G1082" t="s">
        <v>4837</v>
      </c>
      <c r="H1082" t="s">
        <v>1283</v>
      </c>
      <c r="J1082">
        <v>635</v>
      </c>
      <c r="L1082" t="s">
        <v>20</v>
      </c>
      <c r="M1082" t="s">
        <v>4838</v>
      </c>
    </row>
    <row r="1083" spans="1:13" x14ac:dyDescent="0.25">
      <c r="A1083">
        <v>6371485</v>
      </c>
      <c r="B1083" t="s">
        <v>4839</v>
      </c>
      <c r="C1083" t="str">
        <f>"9781786390790"</f>
        <v>9781786390790</v>
      </c>
      <c r="D1083" t="str">
        <f>"9781786390813"</f>
        <v>9781786390813</v>
      </c>
      <c r="E1083" t="s">
        <v>4836</v>
      </c>
      <c r="F1083" s="1">
        <v>42725</v>
      </c>
      <c r="G1083" t="s">
        <v>4840</v>
      </c>
      <c r="H1083" t="s">
        <v>1283</v>
      </c>
      <c r="J1083" t="s">
        <v>4841</v>
      </c>
      <c r="L1083" t="s">
        <v>20</v>
      </c>
      <c r="M1083" t="s">
        <v>4842</v>
      </c>
    </row>
    <row r="1084" spans="1:13" x14ac:dyDescent="0.25">
      <c r="A1084">
        <v>6371486</v>
      </c>
      <c r="B1084" t="s">
        <v>4843</v>
      </c>
      <c r="C1084" t="str">
        <f>"9781780644981"</f>
        <v>9781780644981</v>
      </c>
      <c r="D1084" t="str">
        <f>"9781780646756"</f>
        <v>9781780646756</v>
      </c>
      <c r="E1084" t="s">
        <v>4836</v>
      </c>
      <c r="F1084" s="1">
        <v>42907</v>
      </c>
      <c r="G1084" t="s">
        <v>4844</v>
      </c>
      <c r="H1084" t="s">
        <v>1283</v>
      </c>
      <c r="J1084">
        <v>631.58000000000004</v>
      </c>
      <c r="L1084" t="s">
        <v>20</v>
      </c>
      <c r="M1084" t="s">
        <v>4845</v>
      </c>
    </row>
    <row r="1085" spans="1:13" x14ac:dyDescent="0.25">
      <c r="A1085">
        <v>6371487</v>
      </c>
      <c r="B1085" t="s">
        <v>4846</v>
      </c>
      <c r="C1085" t="str">
        <f>"9781789246049"</f>
        <v>9781789246049</v>
      </c>
      <c r="D1085" t="str">
        <f>"9781789246063"</f>
        <v>9781789246063</v>
      </c>
      <c r="E1085" t="s">
        <v>4836</v>
      </c>
      <c r="F1085" s="1">
        <v>44091</v>
      </c>
      <c r="G1085" t="s">
        <v>4847</v>
      </c>
      <c r="H1085" t="s">
        <v>169</v>
      </c>
      <c r="I1085" t="s">
        <v>4848</v>
      </c>
      <c r="J1085">
        <v>333.31549200000001</v>
      </c>
      <c r="K1085" t="s">
        <v>4849</v>
      </c>
      <c r="L1085" t="s">
        <v>20</v>
      </c>
      <c r="M1085" t="s">
        <v>4850</v>
      </c>
    </row>
    <row r="1086" spans="1:13" x14ac:dyDescent="0.25">
      <c r="A1086">
        <v>6371488</v>
      </c>
      <c r="B1086" t="s">
        <v>4851</v>
      </c>
      <c r="C1086" t="str">
        <f>"9781786390592"</f>
        <v>9781786390592</v>
      </c>
      <c r="D1086" t="str">
        <f>"9781786390615"</f>
        <v>9781786390615</v>
      </c>
      <c r="E1086" t="s">
        <v>4836</v>
      </c>
      <c r="F1086" s="1">
        <v>42894</v>
      </c>
      <c r="G1086" t="s">
        <v>4852</v>
      </c>
      <c r="H1086" t="s">
        <v>1283</v>
      </c>
      <c r="L1086" t="s">
        <v>20</v>
      </c>
      <c r="M1086" t="s">
        <v>4853</v>
      </c>
    </row>
    <row r="1087" spans="1:13" x14ac:dyDescent="0.25">
      <c r="A1087">
        <v>6371489</v>
      </c>
      <c r="B1087" t="s">
        <v>4854</v>
      </c>
      <c r="C1087" t="str">
        <f>"9781786390042"</f>
        <v>9781786390042</v>
      </c>
      <c r="D1087" t="str">
        <f>"9781786390066"</f>
        <v>9781786390066</v>
      </c>
      <c r="E1087" t="s">
        <v>4836</v>
      </c>
      <c r="F1087" s="1">
        <v>42674</v>
      </c>
      <c r="G1087" t="s">
        <v>4855</v>
      </c>
      <c r="H1087" t="s">
        <v>2597</v>
      </c>
      <c r="J1087">
        <v>362.10700000000003</v>
      </c>
      <c r="L1087" t="s">
        <v>20</v>
      </c>
      <c r="M1087" t="s">
        <v>4856</v>
      </c>
    </row>
    <row r="1088" spans="1:13" x14ac:dyDescent="0.25">
      <c r="A1088">
        <v>6374613</v>
      </c>
      <c r="B1088" t="s">
        <v>4857</v>
      </c>
      <c r="C1088" t="str">
        <f>"9781783749034"</f>
        <v>9781783749034</v>
      </c>
      <c r="D1088" t="str">
        <f>"9781783749041"</f>
        <v>9781783749041</v>
      </c>
      <c r="E1088" t="s">
        <v>2270</v>
      </c>
      <c r="F1088" s="1">
        <v>44126</v>
      </c>
      <c r="G1088" t="s">
        <v>4858</v>
      </c>
      <c r="H1088" t="s">
        <v>64</v>
      </c>
      <c r="J1088">
        <v>302.23099999999999</v>
      </c>
      <c r="L1088" t="s">
        <v>20</v>
      </c>
      <c r="M1088" t="s">
        <v>4859</v>
      </c>
    </row>
    <row r="1089" spans="1:13" x14ac:dyDescent="0.25">
      <c r="A1089">
        <v>6379906</v>
      </c>
      <c r="B1089" t="s">
        <v>4860</v>
      </c>
      <c r="C1089" t="str">
        <f>"9781800640962"</f>
        <v>9781800640962</v>
      </c>
      <c r="D1089" t="str">
        <f>"9781800640979"</f>
        <v>9781800640979</v>
      </c>
      <c r="E1089" t="s">
        <v>2270</v>
      </c>
      <c r="F1089" s="1">
        <v>44119</v>
      </c>
      <c r="G1089" t="s">
        <v>4861</v>
      </c>
      <c r="H1089" t="s">
        <v>1178</v>
      </c>
      <c r="L1089" t="s">
        <v>20</v>
      </c>
      <c r="M1089" t="s">
        <v>4862</v>
      </c>
    </row>
    <row r="1090" spans="1:13" x14ac:dyDescent="0.25">
      <c r="A1090">
        <v>6379907</v>
      </c>
      <c r="B1090" t="s">
        <v>4863</v>
      </c>
      <c r="C1090" t="str">
        <f>"9781800640306"</f>
        <v>9781800640306</v>
      </c>
      <c r="D1090" t="str">
        <f>"9781800640313"</f>
        <v>9781800640313</v>
      </c>
      <c r="E1090" t="s">
        <v>2270</v>
      </c>
      <c r="F1090" s="1">
        <v>44099</v>
      </c>
      <c r="G1090" t="s">
        <v>4864</v>
      </c>
      <c r="H1090" t="s">
        <v>712</v>
      </c>
      <c r="J1090">
        <v>4.09</v>
      </c>
      <c r="L1090" t="s">
        <v>20</v>
      </c>
      <c r="M1090" t="s">
        <v>4865</v>
      </c>
    </row>
    <row r="1091" spans="1:13" x14ac:dyDescent="0.25">
      <c r="A1091">
        <v>6380808</v>
      </c>
      <c r="B1091" t="s">
        <v>4866</v>
      </c>
      <c r="C1091" t="str">
        <f>"9783030370381"</f>
        <v>9783030370381</v>
      </c>
      <c r="D1091" t="str">
        <f>"9783030370398"</f>
        <v>9783030370398</v>
      </c>
      <c r="E1091" t="s">
        <v>2905</v>
      </c>
      <c r="F1091" s="1">
        <v>44131</v>
      </c>
      <c r="G1091" t="s">
        <v>4867</v>
      </c>
      <c r="H1091" t="s">
        <v>246</v>
      </c>
      <c r="I1091" t="s">
        <v>4868</v>
      </c>
      <c r="J1091">
        <v>791.43652999999995</v>
      </c>
      <c r="L1091" t="s">
        <v>20</v>
      </c>
      <c r="M1091" t="s">
        <v>4869</v>
      </c>
    </row>
    <row r="1092" spans="1:13" x14ac:dyDescent="0.25">
      <c r="A1092">
        <v>6380891</v>
      </c>
      <c r="B1092" t="s">
        <v>4870</v>
      </c>
      <c r="C1092" t="str">
        <f>"9783030553999"</f>
        <v>9783030553999</v>
      </c>
      <c r="D1092" t="str">
        <f>"9783030554002"</f>
        <v>9783030554002</v>
      </c>
      <c r="E1092" t="s">
        <v>2905</v>
      </c>
      <c r="F1092" s="1">
        <v>44121</v>
      </c>
      <c r="G1092" t="s">
        <v>4871</v>
      </c>
      <c r="H1092" t="s">
        <v>239</v>
      </c>
      <c r="I1092" t="s">
        <v>4872</v>
      </c>
      <c r="L1092" t="s">
        <v>20</v>
      </c>
      <c r="M1092" t="s">
        <v>4873</v>
      </c>
    </row>
    <row r="1093" spans="1:13" x14ac:dyDescent="0.25">
      <c r="A1093">
        <v>6380914</v>
      </c>
      <c r="B1093" t="s">
        <v>4874</v>
      </c>
      <c r="C1093" t="str">
        <f>"9783030551513"</f>
        <v>9783030551513</v>
      </c>
      <c r="D1093" t="str">
        <f>"9783030551520"</f>
        <v>9783030551520</v>
      </c>
      <c r="E1093" t="s">
        <v>2905</v>
      </c>
      <c r="F1093" s="1">
        <v>44119</v>
      </c>
      <c r="G1093" t="s">
        <v>4875</v>
      </c>
      <c r="H1093" t="s">
        <v>363</v>
      </c>
      <c r="I1093" t="s">
        <v>4876</v>
      </c>
      <c r="L1093" t="s">
        <v>20</v>
      </c>
      <c r="M1093" t="s">
        <v>4877</v>
      </c>
    </row>
    <row r="1094" spans="1:13" x14ac:dyDescent="0.25">
      <c r="A1094">
        <v>6381012</v>
      </c>
      <c r="B1094" t="s">
        <v>4878</v>
      </c>
      <c r="C1094" t="str">
        <f>"9783030546731"</f>
        <v>9783030546731</v>
      </c>
      <c r="D1094" t="str">
        <f>"9783030546748"</f>
        <v>9783030546748</v>
      </c>
      <c r="E1094" t="s">
        <v>2905</v>
      </c>
      <c r="F1094" s="1">
        <v>44132</v>
      </c>
      <c r="G1094" t="s">
        <v>4879</v>
      </c>
      <c r="H1094" t="s">
        <v>30</v>
      </c>
      <c r="I1094" t="s">
        <v>4251</v>
      </c>
      <c r="L1094" t="s">
        <v>20</v>
      </c>
      <c r="M1094" t="s">
        <v>4880</v>
      </c>
    </row>
    <row r="1095" spans="1:13" x14ac:dyDescent="0.25">
      <c r="A1095">
        <v>6381122</v>
      </c>
      <c r="B1095" t="s">
        <v>4881</v>
      </c>
      <c r="C1095" t="str">
        <f>"9783030570804"</f>
        <v>9783030570804</v>
      </c>
      <c r="D1095" t="str">
        <f>"9783030570811"</f>
        <v>9783030570811</v>
      </c>
      <c r="E1095" t="s">
        <v>2905</v>
      </c>
      <c r="F1095" s="1">
        <v>44118</v>
      </c>
      <c r="G1095" t="s">
        <v>4882</v>
      </c>
      <c r="H1095" t="s">
        <v>2597</v>
      </c>
      <c r="I1095" t="s">
        <v>2908</v>
      </c>
      <c r="J1095">
        <v>362.29</v>
      </c>
      <c r="L1095" t="s">
        <v>20</v>
      </c>
      <c r="M1095" t="s">
        <v>4883</v>
      </c>
    </row>
    <row r="1096" spans="1:13" x14ac:dyDescent="0.25">
      <c r="A1096">
        <v>6381145</v>
      </c>
      <c r="B1096" t="s">
        <v>4884</v>
      </c>
      <c r="C1096" t="str">
        <f>"9783030538460"</f>
        <v>9783030538460</v>
      </c>
      <c r="D1096" t="str">
        <f>"9783030538477"</f>
        <v>9783030538477</v>
      </c>
      <c r="E1096" t="s">
        <v>2905</v>
      </c>
      <c r="F1096" s="1">
        <v>44131</v>
      </c>
      <c r="G1096" t="s">
        <v>4885</v>
      </c>
      <c r="H1096" t="s">
        <v>2623</v>
      </c>
      <c r="I1096" t="s">
        <v>4886</v>
      </c>
      <c r="L1096" t="s">
        <v>20</v>
      </c>
      <c r="M1096" t="s">
        <v>4887</v>
      </c>
    </row>
    <row r="1097" spans="1:13" x14ac:dyDescent="0.25">
      <c r="A1097">
        <v>6381169</v>
      </c>
      <c r="B1097" t="s">
        <v>4888</v>
      </c>
      <c r="C1097" t="str">
        <f>"9783662489574"</f>
        <v>9783662489574</v>
      </c>
      <c r="D1097" t="str">
        <f>"9783662489598"</f>
        <v>9783662489598</v>
      </c>
      <c r="E1097" t="s">
        <v>4540</v>
      </c>
      <c r="F1097" s="1">
        <v>42479</v>
      </c>
      <c r="G1097" t="s">
        <v>4889</v>
      </c>
      <c r="H1097" t="s">
        <v>4890</v>
      </c>
      <c r="I1097" t="s">
        <v>4495</v>
      </c>
      <c r="J1097">
        <v>551.60109999999997</v>
      </c>
      <c r="L1097" t="s">
        <v>20</v>
      </c>
      <c r="M1097" t="s">
        <v>4891</v>
      </c>
    </row>
    <row r="1098" spans="1:13" x14ac:dyDescent="0.25">
      <c r="A1098">
        <v>6381176</v>
      </c>
      <c r="B1098" t="s">
        <v>4892</v>
      </c>
      <c r="C1098" t="str">
        <f>"9783658311599"</f>
        <v>9783658311599</v>
      </c>
      <c r="D1098" t="str">
        <f>"9783658311605"</f>
        <v>9783658311605</v>
      </c>
      <c r="E1098" t="s">
        <v>4472</v>
      </c>
      <c r="F1098" s="1">
        <v>44118</v>
      </c>
      <c r="G1098" t="s">
        <v>4893</v>
      </c>
      <c r="H1098" t="s">
        <v>30</v>
      </c>
      <c r="I1098" t="s">
        <v>4894</v>
      </c>
      <c r="L1098" t="s">
        <v>20</v>
      </c>
      <c r="M1098" t="s">
        <v>4895</v>
      </c>
    </row>
    <row r="1099" spans="1:13" x14ac:dyDescent="0.25">
      <c r="A1099">
        <v>6381237</v>
      </c>
      <c r="B1099" t="s">
        <v>4896</v>
      </c>
      <c r="C1099" t="str">
        <f>"9783030546595"</f>
        <v>9783030546595</v>
      </c>
      <c r="D1099" t="str">
        <f>"9783030546601"</f>
        <v>9783030546601</v>
      </c>
      <c r="E1099" t="s">
        <v>2905</v>
      </c>
      <c r="F1099" s="1">
        <v>44118</v>
      </c>
      <c r="G1099" t="s">
        <v>4897</v>
      </c>
      <c r="H1099" t="s">
        <v>4898</v>
      </c>
      <c r="I1099" t="s">
        <v>4899</v>
      </c>
      <c r="J1099">
        <v>4.6782000000000004</v>
      </c>
      <c r="L1099" t="s">
        <v>20</v>
      </c>
      <c r="M1099" t="s">
        <v>4900</v>
      </c>
    </row>
    <row r="1100" spans="1:13" x14ac:dyDescent="0.25">
      <c r="A1100">
        <v>6381274</v>
      </c>
      <c r="B1100" t="s">
        <v>4901</v>
      </c>
      <c r="C1100" t="str">
        <f>"9783030598327"</f>
        <v>9783030598327</v>
      </c>
      <c r="D1100" t="str">
        <f>"9783030598334"</f>
        <v>9783030598334</v>
      </c>
      <c r="E1100" t="s">
        <v>2905</v>
      </c>
      <c r="F1100" s="1">
        <v>44131</v>
      </c>
      <c r="G1100" t="s">
        <v>4902</v>
      </c>
      <c r="H1100" t="s">
        <v>712</v>
      </c>
      <c r="I1100" t="s">
        <v>4903</v>
      </c>
      <c r="L1100" t="s">
        <v>20</v>
      </c>
      <c r="M1100" t="s">
        <v>4904</v>
      </c>
    </row>
    <row r="1101" spans="1:13" x14ac:dyDescent="0.25">
      <c r="A1101">
        <v>6381290</v>
      </c>
      <c r="B1101" t="s">
        <v>4905</v>
      </c>
      <c r="C1101" t="str">
        <f>"9783030496821"</f>
        <v>9783030496821</v>
      </c>
      <c r="D1101" t="str">
        <f>"9783030496838"</f>
        <v>9783030496838</v>
      </c>
      <c r="E1101" t="s">
        <v>2905</v>
      </c>
      <c r="F1101" s="1">
        <v>44118</v>
      </c>
      <c r="G1101" t="s">
        <v>4906</v>
      </c>
      <c r="H1101" t="s">
        <v>64</v>
      </c>
      <c r="I1101" t="s">
        <v>4661</v>
      </c>
      <c r="J1101">
        <v>302.23</v>
      </c>
      <c r="L1101" t="s">
        <v>20</v>
      </c>
      <c r="M1101" t="s">
        <v>4907</v>
      </c>
    </row>
    <row r="1102" spans="1:13" x14ac:dyDescent="0.25">
      <c r="A1102">
        <v>6381308</v>
      </c>
      <c r="B1102" t="s">
        <v>4908</v>
      </c>
      <c r="C1102" t="str">
        <f>"9783030496784"</f>
        <v>9783030496784</v>
      </c>
      <c r="D1102" t="str">
        <f>"9783030496791"</f>
        <v>9783030496791</v>
      </c>
      <c r="E1102" t="s">
        <v>2905</v>
      </c>
      <c r="F1102" s="1">
        <v>44119</v>
      </c>
      <c r="G1102" t="s">
        <v>4906</v>
      </c>
      <c r="H1102" t="s">
        <v>64</v>
      </c>
      <c r="I1102" t="s">
        <v>4661</v>
      </c>
      <c r="J1102">
        <v>302.23</v>
      </c>
      <c r="L1102" t="s">
        <v>20</v>
      </c>
      <c r="M1102" t="s">
        <v>4909</v>
      </c>
    </row>
    <row r="1103" spans="1:13" x14ac:dyDescent="0.25">
      <c r="A1103">
        <v>6381407</v>
      </c>
      <c r="B1103" t="s">
        <v>4910</v>
      </c>
      <c r="C1103" t="str">
        <f>"9783030278731"</f>
        <v>9783030278731</v>
      </c>
      <c r="D1103" t="str">
        <f>"9783030278748"</f>
        <v>9783030278748</v>
      </c>
      <c r="E1103" t="s">
        <v>2905</v>
      </c>
      <c r="F1103" s="1">
        <v>44131</v>
      </c>
      <c r="G1103" t="s">
        <v>4911</v>
      </c>
      <c r="H1103" t="s">
        <v>2603</v>
      </c>
      <c r="I1103" t="s">
        <v>4482</v>
      </c>
      <c r="L1103" t="s">
        <v>20</v>
      </c>
      <c r="M1103" t="s">
        <v>4912</v>
      </c>
    </row>
    <row r="1104" spans="1:13" x14ac:dyDescent="0.25">
      <c r="A1104">
        <v>6381426</v>
      </c>
      <c r="B1104" t="s">
        <v>4913</v>
      </c>
      <c r="C1104" t="str">
        <f>"9789811551901"</f>
        <v>9789811551901</v>
      </c>
      <c r="D1104" t="str">
        <f>"9789811551918"</f>
        <v>9789811551918</v>
      </c>
      <c r="E1104" t="s">
        <v>4099</v>
      </c>
      <c r="F1104" s="1">
        <v>44127</v>
      </c>
      <c r="G1104" t="s">
        <v>4914</v>
      </c>
      <c r="H1104" t="s">
        <v>4915</v>
      </c>
      <c r="I1104" t="s">
        <v>4916</v>
      </c>
      <c r="L1104" t="s">
        <v>20</v>
      </c>
      <c r="M1104" t="s">
        <v>4917</v>
      </c>
    </row>
    <row r="1105" spans="1:13" x14ac:dyDescent="0.25">
      <c r="A1105">
        <v>6381442</v>
      </c>
      <c r="B1105" t="s">
        <v>4918</v>
      </c>
      <c r="C1105" t="str">
        <f>"9783319295572"</f>
        <v>9783319295572</v>
      </c>
      <c r="D1105" t="str">
        <f>"9783319295589"</f>
        <v>9783319295589</v>
      </c>
      <c r="E1105" t="s">
        <v>2905</v>
      </c>
      <c r="F1105" s="1">
        <v>42451</v>
      </c>
      <c r="G1105" t="s">
        <v>4919</v>
      </c>
      <c r="H1105" t="s">
        <v>1178</v>
      </c>
      <c r="I1105" t="s">
        <v>4920</v>
      </c>
      <c r="J1105">
        <v>512.54999999999995</v>
      </c>
      <c r="L1105" t="s">
        <v>20</v>
      </c>
      <c r="M1105" t="s">
        <v>4921</v>
      </c>
    </row>
    <row r="1106" spans="1:13" x14ac:dyDescent="0.25">
      <c r="A1106">
        <v>6381988</v>
      </c>
      <c r="B1106" t="s">
        <v>4922</v>
      </c>
      <c r="C1106" t="str">
        <f>"9783030523909"</f>
        <v>9783030523909</v>
      </c>
      <c r="D1106" t="str">
        <f>"9783030523916"</f>
        <v>9783030523916</v>
      </c>
      <c r="E1106" t="s">
        <v>2905</v>
      </c>
      <c r="F1106" s="1">
        <v>44134</v>
      </c>
      <c r="G1106" t="s">
        <v>4923</v>
      </c>
      <c r="H1106" t="s">
        <v>1056</v>
      </c>
      <c r="I1106" t="s">
        <v>4924</v>
      </c>
      <c r="L1106" t="s">
        <v>20</v>
      </c>
      <c r="M1106" t="s">
        <v>4925</v>
      </c>
    </row>
    <row r="1107" spans="1:13" x14ac:dyDescent="0.25">
      <c r="A1107">
        <v>6382137</v>
      </c>
      <c r="B1107" t="s">
        <v>4926</v>
      </c>
      <c r="C1107" t="str">
        <f>"9783030512408"</f>
        <v>9783030512408</v>
      </c>
      <c r="D1107" t="str">
        <f>"9783030512415"</f>
        <v>9783030512415</v>
      </c>
      <c r="E1107" t="s">
        <v>2905</v>
      </c>
      <c r="F1107" s="1">
        <v>44135</v>
      </c>
      <c r="G1107" t="s">
        <v>4927</v>
      </c>
      <c r="H1107" t="s">
        <v>64</v>
      </c>
      <c r="I1107" t="s">
        <v>2908</v>
      </c>
      <c r="L1107" t="s">
        <v>20</v>
      </c>
      <c r="M1107" t="s">
        <v>4928</v>
      </c>
    </row>
    <row r="1108" spans="1:13" x14ac:dyDescent="0.25">
      <c r="A1108">
        <v>6382138</v>
      </c>
      <c r="B1108" t="s">
        <v>4929</v>
      </c>
      <c r="C1108" t="str">
        <f>"9783030611569"</f>
        <v>9783030611569</v>
      </c>
      <c r="D1108" t="str">
        <f>"9783030611576"</f>
        <v>9783030611576</v>
      </c>
      <c r="E1108" t="s">
        <v>2905</v>
      </c>
      <c r="F1108" s="1">
        <v>44135</v>
      </c>
      <c r="G1108" t="s">
        <v>4930</v>
      </c>
      <c r="H1108" t="s">
        <v>2614</v>
      </c>
      <c r="I1108" t="s">
        <v>4931</v>
      </c>
      <c r="L1108" t="s">
        <v>20</v>
      </c>
      <c r="M1108" t="s">
        <v>4932</v>
      </c>
    </row>
    <row r="1109" spans="1:13" x14ac:dyDescent="0.25">
      <c r="A1109">
        <v>6382143</v>
      </c>
      <c r="B1109" t="s">
        <v>4933</v>
      </c>
      <c r="C1109" t="str">
        <f>"9789811581823"</f>
        <v>9789811581823</v>
      </c>
      <c r="D1109" t="str">
        <f>"9789811581830"</f>
        <v>9789811581830</v>
      </c>
      <c r="E1109" t="s">
        <v>4626</v>
      </c>
      <c r="F1109" s="1">
        <v>44135</v>
      </c>
      <c r="G1109" t="s">
        <v>4934</v>
      </c>
      <c r="H1109" t="s">
        <v>4935</v>
      </c>
      <c r="I1109" t="s">
        <v>4936</v>
      </c>
      <c r="J1109">
        <v>363.28502850000001</v>
      </c>
      <c r="L1109" t="s">
        <v>20</v>
      </c>
      <c r="M1109" t="s">
        <v>4937</v>
      </c>
    </row>
    <row r="1110" spans="1:13" x14ac:dyDescent="0.25">
      <c r="A1110">
        <v>6382157</v>
      </c>
      <c r="B1110" t="s">
        <v>4938</v>
      </c>
      <c r="C1110" t="str">
        <f>"9783030512446"</f>
        <v>9783030512446</v>
      </c>
      <c r="D1110" t="str">
        <f>"9783030512453"</f>
        <v>9783030512453</v>
      </c>
      <c r="E1110" t="s">
        <v>2905</v>
      </c>
      <c r="F1110" s="1">
        <v>44135</v>
      </c>
      <c r="G1110" t="s">
        <v>4927</v>
      </c>
      <c r="H1110" t="s">
        <v>64</v>
      </c>
      <c r="I1110" t="s">
        <v>2908</v>
      </c>
      <c r="L1110" t="s">
        <v>20</v>
      </c>
      <c r="M1110" t="s">
        <v>4939</v>
      </c>
    </row>
    <row r="1111" spans="1:13" x14ac:dyDescent="0.25">
      <c r="A1111">
        <v>6382163</v>
      </c>
      <c r="B1111" t="s">
        <v>4940</v>
      </c>
      <c r="C1111" t="str">
        <f>"9783030548704"</f>
        <v>9783030548704</v>
      </c>
      <c r="D1111" t="str">
        <f>"9783030548711"</f>
        <v>9783030548711</v>
      </c>
      <c r="E1111" t="s">
        <v>2905</v>
      </c>
      <c r="F1111" s="1">
        <v>44135</v>
      </c>
      <c r="G1111" t="s">
        <v>4941</v>
      </c>
      <c r="H1111" t="s">
        <v>2597</v>
      </c>
      <c r="I1111" t="s">
        <v>4619</v>
      </c>
      <c r="J1111">
        <v>362.21094210904101</v>
      </c>
      <c r="L1111" t="s">
        <v>20</v>
      </c>
      <c r="M1111" t="s">
        <v>4942</v>
      </c>
    </row>
    <row r="1112" spans="1:13" x14ac:dyDescent="0.25">
      <c r="A1112">
        <v>6383170</v>
      </c>
      <c r="B1112" t="s">
        <v>4943</v>
      </c>
      <c r="C1112" t="str">
        <f>"9789813271791"</f>
        <v>9789813271791</v>
      </c>
      <c r="D1112" t="str">
        <f>"9789813271807"</f>
        <v>9789813271807</v>
      </c>
      <c r="E1112" t="s">
        <v>4445</v>
      </c>
      <c r="F1112" s="1">
        <v>43606</v>
      </c>
      <c r="G1112" t="s">
        <v>4944</v>
      </c>
      <c r="H1112" t="s">
        <v>4945</v>
      </c>
      <c r="L1112" t="s">
        <v>20</v>
      </c>
      <c r="M1112" t="s">
        <v>4946</v>
      </c>
    </row>
    <row r="1113" spans="1:13" x14ac:dyDescent="0.25">
      <c r="A1113">
        <v>6383171</v>
      </c>
      <c r="B1113" t="s">
        <v>4947</v>
      </c>
      <c r="C1113" t="str">
        <f>"9789814759908"</f>
        <v>9789814759908</v>
      </c>
      <c r="D1113" t="str">
        <f>"9789814759915"</f>
        <v>9789814759915</v>
      </c>
      <c r="E1113" t="s">
        <v>4445</v>
      </c>
      <c r="F1113" s="1">
        <v>42545</v>
      </c>
      <c r="G1113" t="s">
        <v>4948</v>
      </c>
      <c r="H1113" t="s">
        <v>30</v>
      </c>
      <c r="L1113" t="s">
        <v>20</v>
      </c>
      <c r="M1113" t="s">
        <v>4949</v>
      </c>
    </row>
    <row r="1114" spans="1:13" x14ac:dyDescent="0.25">
      <c r="A1114">
        <v>6383172</v>
      </c>
      <c r="B1114" t="s">
        <v>4950</v>
      </c>
      <c r="C1114" t="str">
        <f>"9789813207806"</f>
        <v>9789813207806</v>
      </c>
      <c r="D1114" t="str">
        <f>"9789813207813"</f>
        <v>9789813207813</v>
      </c>
      <c r="E1114" t="s">
        <v>4445</v>
      </c>
      <c r="F1114" s="1">
        <v>42697</v>
      </c>
      <c r="G1114" t="s">
        <v>4951</v>
      </c>
      <c r="H1114" t="s">
        <v>4952</v>
      </c>
      <c r="L1114" t="s">
        <v>20</v>
      </c>
      <c r="M1114" t="s">
        <v>4953</v>
      </c>
    </row>
    <row r="1115" spans="1:13" x14ac:dyDescent="0.25">
      <c r="A1115">
        <v>6383173</v>
      </c>
      <c r="B1115" t="s">
        <v>4954</v>
      </c>
      <c r="C1115" t="str">
        <f>"9789814749404"</f>
        <v>9789814749404</v>
      </c>
      <c r="D1115" t="str">
        <f>"9789814749411"</f>
        <v>9789814749411</v>
      </c>
      <c r="E1115" t="s">
        <v>4445</v>
      </c>
      <c r="F1115" s="1">
        <v>42327</v>
      </c>
      <c r="G1115" t="s">
        <v>4955</v>
      </c>
      <c r="H1115" t="s">
        <v>4952</v>
      </c>
      <c r="L1115" t="s">
        <v>20</v>
      </c>
      <c r="M1115" t="s">
        <v>4956</v>
      </c>
    </row>
    <row r="1116" spans="1:13" x14ac:dyDescent="0.25">
      <c r="A1116">
        <v>6383174</v>
      </c>
      <c r="B1116" t="s">
        <v>4957</v>
      </c>
      <c r="C1116" t="str">
        <f>"9781848165694"</f>
        <v>9781848165694</v>
      </c>
      <c r="D1116" t="str">
        <f>"9781848165786"</f>
        <v>9781848165786</v>
      </c>
      <c r="E1116" t="s">
        <v>4445</v>
      </c>
      <c r="F1116" s="1">
        <v>40196</v>
      </c>
      <c r="G1116" t="s">
        <v>4958</v>
      </c>
      <c r="H1116" t="s">
        <v>4959</v>
      </c>
      <c r="L1116" t="s">
        <v>20</v>
      </c>
      <c r="M1116" t="s">
        <v>4960</v>
      </c>
    </row>
    <row r="1117" spans="1:13" x14ac:dyDescent="0.25">
      <c r="A1117">
        <v>6383175</v>
      </c>
      <c r="B1117" t="s">
        <v>4961</v>
      </c>
      <c r="C1117" t="str">
        <f>"9781848165625"</f>
        <v>9781848165625</v>
      </c>
      <c r="D1117" t="str">
        <f>"9781848165632"</f>
        <v>9781848165632</v>
      </c>
      <c r="E1117" t="s">
        <v>4445</v>
      </c>
      <c r="F1117" s="1">
        <v>40109</v>
      </c>
      <c r="G1117" t="s">
        <v>4962</v>
      </c>
      <c r="H1117" t="s">
        <v>4963</v>
      </c>
      <c r="L1117" t="s">
        <v>20</v>
      </c>
      <c r="M1117" t="s">
        <v>4964</v>
      </c>
    </row>
    <row r="1118" spans="1:13" x14ac:dyDescent="0.25">
      <c r="A1118">
        <v>6383176</v>
      </c>
      <c r="B1118" t="s">
        <v>4965</v>
      </c>
      <c r="C1118" t="str">
        <f>"9789811215629"</f>
        <v>9789811215629</v>
      </c>
      <c r="D1118" t="str">
        <f>"9789811215636"</f>
        <v>9789811215636</v>
      </c>
      <c r="E1118" t="s">
        <v>4445</v>
      </c>
      <c r="F1118" s="1">
        <v>43797</v>
      </c>
      <c r="G1118" t="s">
        <v>4955</v>
      </c>
      <c r="H1118" t="s">
        <v>4966</v>
      </c>
      <c r="L1118" t="s">
        <v>20</v>
      </c>
      <c r="M1118" t="s">
        <v>4967</v>
      </c>
    </row>
    <row r="1119" spans="1:13" x14ac:dyDescent="0.25">
      <c r="A1119">
        <v>6383177</v>
      </c>
      <c r="B1119" t="s">
        <v>4968</v>
      </c>
      <c r="C1119" t="str">
        <f>"9789813226593"</f>
        <v>9789813226593</v>
      </c>
      <c r="D1119" t="str">
        <f>"9789813226609"</f>
        <v>9789813226609</v>
      </c>
      <c r="E1119" t="s">
        <v>4445</v>
      </c>
      <c r="F1119" s="1">
        <v>43021</v>
      </c>
      <c r="G1119" t="s">
        <v>4969</v>
      </c>
      <c r="H1119" t="s">
        <v>4970</v>
      </c>
      <c r="L1119" t="s">
        <v>20</v>
      </c>
      <c r="M1119" t="s">
        <v>4971</v>
      </c>
    </row>
    <row r="1120" spans="1:13" x14ac:dyDescent="0.25">
      <c r="A1120">
        <v>6383178</v>
      </c>
      <c r="B1120" t="s">
        <v>4972</v>
      </c>
      <c r="C1120" t="str">
        <f>"9789813230880"</f>
        <v>9789813230880</v>
      </c>
      <c r="D1120" t="str">
        <f>"9789813230897"</f>
        <v>9789813230897</v>
      </c>
      <c r="E1120" t="s">
        <v>4445</v>
      </c>
      <c r="F1120" s="1">
        <v>43207</v>
      </c>
      <c r="G1120" t="s">
        <v>4973</v>
      </c>
      <c r="H1120" t="s">
        <v>4974</v>
      </c>
      <c r="L1120" t="s">
        <v>20</v>
      </c>
      <c r="M1120" t="s">
        <v>4975</v>
      </c>
    </row>
    <row r="1121" spans="1:13" x14ac:dyDescent="0.25">
      <c r="A1121">
        <v>6383179</v>
      </c>
      <c r="B1121" t="s">
        <v>4976</v>
      </c>
      <c r="C1121" t="str">
        <f>"9789813235526"</f>
        <v>9789813235526</v>
      </c>
      <c r="D1121" t="str">
        <f>"9789813235533"</f>
        <v>9789813235533</v>
      </c>
      <c r="E1121" t="s">
        <v>4445</v>
      </c>
      <c r="F1121" s="1">
        <v>43056</v>
      </c>
      <c r="G1121" t="s">
        <v>4955</v>
      </c>
      <c r="H1121" t="s">
        <v>4963</v>
      </c>
      <c r="L1121" t="s">
        <v>20</v>
      </c>
      <c r="M1121" t="s">
        <v>4977</v>
      </c>
    </row>
    <row r="1122" spans="1:13" x14ac:dyDescent="0.25">
      <c r="A1122">
        <v>6383180</v>
      </c>
      <c r="B1122" t="s">
        <v>4978</v>
      </c>
      <c r="C1122" t="str">
        <f>"9789813236028"</f>
        <v>9789813236028</v>
      </c>
      <c r="D1122" t="str">
        <f>"9789813236035"</f>
        <v>9789813236035</v>
      </c>
      <c r="E1122" t="s">
        <v>4445</v>
      </c>
      <c r="F1122" s="1">
        <v>43213</v>
      </c>
      <c r="G1122" t="s">
        <v>4979</v>
      </c>
      <c r="H1122" t="s">
        <v>806</v>
      </c>
      <c r="L1122" t="s">
        <v>20</v>
      </c>
      <c r="M1122" t="s">
        <v>4980</v>
      </c>
    </row>
    <row r="1123" spans="1:13" x14ac:dyDescent="0.25">
      <c r="A1123">
        <v>6383181</v>
      </c>
      <c r="B1123" t="s">
        <v>4981</v>
      </c>
      <c r="C1123" t="str">
        <f>"9789813272552"</f>
        <v>9789813272552</v>
      </c>
      <c r="D1123" t="str">
        <f>"9789813272569"</f>
        <v>9789813272569</v>
      </c>
      <c r="E1123" t="s">
        <v>4445</v>
      </c>
      <c r="F1123" s="1">
        <v>43357</v>
      </c>
      <c r="G1123" t="s">
        <v>4982</v>
      </c>
      <c r="H1123" t="s">
        <v>1753</v>
      </c>
      <c r="L1123" t="s">
        <v>20</v>
      </c>
      <c r="M1123" t="s">
        <v>4983</v>
      </c>
    </row>
    <row r="1124" spans="1:13" x14ac:dyDescent="0.25">
      <c r="A1124">
        <v>6383182</v>
      </c>
      <c r="B1124" t="s">
        <v>4984</v>
      </c>
      <c r="C1124" t="str">
        <f>"9789813278349"</f>
        <v>9789813278349</v>
      </c>
      <c r="D1124" t="str">
        <f>"9789813278356"</f>
        <v>9789813278356</v>
      </c>
      <c r="E1124" t="s">
        <v>4445</v>
      </c>
      <c r="F1124" s="1">
        <v>43412</v>
      </c>
      <c r="G1124" t="s">
        <v>4985</v>
      </c>
      <c r="H1124" t="s">
        <v>4986</v>
      </c>
      <c r="L1124" t="s">
        <v>20</v>
      </c>
      <c r="M1124" t="s">
        <v>4987</v>
      </c>
    </row>
    <row r="1125" spans="1:13" x14ac:dyDescent="0.25">
      <c r="A1125">
        <v>6383183</v>
      </c>
      <c r="B1125" t="s">
        <v>4988</v>
      </c>
      <c r="C1125" t="str">
        <f>"9789813279810"</f>
        <v>9789813279810</v>
      </c>
      <c r="D1125" t="str">
        <f>"9789813279827"</f>
        <v>9789813279827</v>
      </c>
      <c r="E1125" t="s">
        <v>4445</v>
      </c>
      <c r="F1125" s="1">
        <v>43432</v>
      </c>
      <c r="G1125" t="s">
        <v>4955</v>
      </c>
      <c r="H1125" t="s">
        <v>4963</v>
      </c>
      <c r="L1125" t="s">
        <v>20</v>
      </c>
      <c r="M1125" t="s">
        <v>4989</v>
      </c>
    </row>
    <row r="1126" spans="1:13" x14ac:dyDescent="0.25">
      <c r="A1126">
        <v>6383184</v>
      </c>
      <c r="B1126" t="s">
        <v>4990</v>
      </c>
      <c r="C1126" t="str">
        <f>"9789814596374"</f>
        <v>9789814596374</v>
      </c>
      <c r="D1126" t="str">
        <f>"9789814366496"</f>
        <v>9789814366496</v>
      </c>
      <c r="E1126" t="s">
        <v>4445</v>
      </c>
      <c r="F1126" s="1">
        <v>40885</v>
      </c>
      <c r="G1126" t="s">
        <v>4991</v>
      </c>
      <c r="H1126" t="s">
        <v>4992</v>
      </c>
      <c r="L1126" t="s">
        <v>20</v>
      </c>
      <c r="M1126" t="s">
        <v>4993</v>
      </c>
    </row>
    <row r="1127" spans="1:13" x14ac:dyDescent="0.25">
      <c r="A1127">
        <v>6383185</v>
      </c>
      <c r="B1127" t="s">
        <v>4994</v>
      </c>
      <c r="C1127" t="str">
        <f>"9789814596367"</f>
        <v>9789814596367</v>
      </c>
      <c r="D1127" t="str">
        <f>"9789814447973"</f>
        <v>9789814447973</v>
      </c>
      <c r="E1127" t="s">
        <v>4445</v>
      </c>
      <c r="F1127" s="1">
        <v>41229</v>
      </c>
      <c r="G1127" t="s">
        <v>4995</v>
      </c>
      <c r="H1127" t="s">
        <v>4952</v>
      </c>
      <c r="L1127" t="s">
        <v>20</v>
      </c>
      <c r="M1127" t="s">
        <v>4996</v>
      </c>
    </row>
    <row r="1128" spans="1:13" x14ac:dyDescent="0.25">
      <c r="A1128">
        <v>6383186</v>
      </c>
      <c r="B1128" t="s">
        <v>4997</v>
      </c>
      <c r="C1128" t="str">
        <f>"9789814335041"</f>
        <v>9789814335041</v>
      </c>
      <c r="D1128" t="str">
        <f>"9789814335058"</f>
        <v>9789814335058</v>
      </c>
      <c r="E1128" t="s">
        <v>4445</v>
      </c>
      <c r="F1128" s="1">
        <v>40511</v>
      </c>
      <c r="G1128" t="s">
        <v>4998</v>
      </c>
      <c r="H1128" t="s">
        <v>4999</v>
      </c>
      <c r="L1128" t="s">
        <v>20</v>
      </c>
      <c r="M1128" t="s">
        <v>5000</v>
      </c>
    </row>
    <row r="1129" spans="1:13" x14ac:dyDescent="0.25">
      <c r="A1129">
        <v>6383187</v>
      </c>
      <c r="B1129" t="s">
        <v>5001</v>
      </c>
      <c r="C1129" t="str">
        <f>"9789814299473"</f>
        <v>9789814299473</v>
      </c>
      <c r="D1129" t="str">
        <f>"9789814295291"</f>
        <v>9789814295291</v>
      </c>
      <c r="E1129" t="s">
        <v>4445</v>
      </c>
      <c r="F1129" s="1">
        <v>40109</v>
      </c>
      <c r="G1129" t="s">
        <v>4998</v>
      </c>
      <c r="H1129" t="s">
        <v>5002</v>
      </c>
      <c r="L1129" t="s">
        <v>20</v>
      </c>
      <c r="M1129" t="s">
        <v>5003</v>
      </c>
    </row>
    <row r="1130" spans="1:13" x14ac:dyDescent="0.25">
      <c r="A1130">
        <v>6383188</v>
      </c>
      <c r="B1130" t="s">
        <v>5004</v>
      </c>
      <c r="C1130" t="str">
        <f>"9789814508711"</f>
        <v>9789814508711</v>
      </c>
      <c r="D1130" t="str">
        <f>"9789814508728"</f>
        <v>9789814508728</v>
      </c>
      <c r="E1130" t="s">
        <v>4445</v>
      </c>
      <c r="F1130" s="1">
        <v>41428</v>
      </c>
      <c r="G1130" t="s">
        <v>5005</v>
      </c>
      <c r="H1130" t="s">
        <v>4952</v>
      </c>
      <c r="L1130" t="s">
        <v>20</v>
      </c>
      <c r="M1130" t="s">
        <v>5006</v>
      </c>
    </row>
    <row r="1131" spans="1:13" x14ac:dyDescent="0.25">
      <c r="A1131">
        <v>6383189</v>
      </c>
      <c r="B1131" t="s">
        <v>5007</v>
      </c>
      <c r="C1131" t="str">
        <f>"9789814596343"</f>
        <v>9789814596343</v>
      </c>
      <c r="D1131" t="str">
        <f>"9789814583220"</f>
        <v>9789814583220</v>
      </c>
      <c r="E1131" t="s">
        <v>4445</v>
      </c>
      <c r="F1131" s="1">
        <v>41597</v>
      </c>
      <c r="G1131" t="s">
        <v>4955</v>
      </c>
      <c r="H1131" t="s">
        <v>4952</v>
      </c>
      <c r="L1131" t="s">
        <v>20</v>
      </c>
      <c r="M1131" t="s">
        <v>5008</v>
      </c>
    </row>
    <row r="1132" spans="1:13" x14ac:dyDescent="0.25">
      <c r="A1132">
        <v>6383190</v>
      </c>
      <c r="B1132" t="s">
        <v>5009</v>
      </c>
      <c r="C1132" t="str">
        <f>"9789814644143"</f>
        <v>9789814644143</v>
      </c>
      <c r="D1132" t="str">
        <f>"9789814644150"</f>
        <v>9789814644150</v>
      </c>
      <c r="E1132" t="s">
        <v>4445</v>
      </c>
      <c r="F1132" s="1">
        <v>42198</v>
      </c>
      <c r="G1132" t="s">
        <v>5010</v>
      </c>
      <c r="H1132" t="s">
        <v>5011</v>
      </c>
      <c r="L1132" t="s">
        <v>20</v>
      </c>
      <c r="M1132" t="s">
        <v>5012</v>
      </c>
    </row>
    <row r="1133" spans="1:13" x14ac:dyDescent="0.25">
      <c r="A1133">
        <v>6383191</v>
      </c>
      <c r="B1133" t="s">
        <v>5013</v>
      </c>
      <c r="C1133" t="str">
        <f>"9789814644723"</f>
        <v>9789814644723</v>
      </c>
      <c r="D1133" t="str">
        <f>"9789814644730"</f>
        <v>9789814644730</v>
      </c>
      <c r="E1133" t="s">
        <v>4445</v>
      </c>
      <c r="F1133" s="1">
        <v>41954</v>
      </c>
      <c r="G1133" t="s">
        <v>4955</v>
      </c>
      <c r="H1133" t="s">
        <v>4963</v>
      </c>
      <c r="L1133" t="s">
        <v>20</v>
      </c>
      <c r="M1133" t="s">
        <v>5014</v>
      </c>
    </row>
    <row r="1134" spans="1:13" x14ac:dyDescent="0.25">
      <c r="A1134">
        <v>6383192</v>
      </c>
      <c r="B1134" t="s">
        <v>5015</v>
      </c>
      <c r="C1134" t="str">
        <f>"9789814675468"</f>
        <v>9789814675468</v>
      </c>
      <c r="D1134" t="str">
        <f>"9789814675475"</f>
        <v>9789814675475</v>
      </c>
      <c r="E1134" t="s">
        <v>4445</v>
      </c>
      <c r="F1134" s="1">
        <v>42244</v>
      </c>
      <c r="G1134" t="s">
        <v>5016</v>
      </c>
      <c r="H1134" t="s">
        <v>4161</v>
      </c>
      <c r="L1134" t="s">
        <v>20</v>
      </c>
      <c r="M1134" t="s">
        <v>5017</v>
      </c>
    </row>
    <row r="1135" spans="1:13" x14ac:dyDescent="0.25">
      <c r="A1135">
        <v>6383193</v>
      </c>
      <c r="B1135" t="s">
        <v>5018</v>
      </c>
      <c r="C1135" t="str">
        <f>"9789814730907"</f>
        <v>9789814730907</v>
      </c>
      <c r="D1135" t="str">
        <f>"9789814730914"</f>
        <v>9789814730914</v>
      </c>
      <c r="E1135" t="s">
        <v>4445</v>
      </c>
      <c r="F1135" s="1">
        <v>42716</v>
      </c>
      <c r="G1135" t="s">
        <v>5019</v>
      </c>
      <c r="H1135" t="s">
        <v>2368</v>
      </c>
      <c r="L1135" t="s">
        <v>20</v>
      </c>
      <c r="M1135" t="s">
        <v>5020</v>
      </c>
    </row>
    <row r="1136" spans="1:13" x14ac:dyDescent="0.25">
      <c r="A1136">
        <v>6383194</v>
      </c>
      <c r="B1136" t="s">
        <v>5021</v>
      </c>
      <c r="C1136" t="str">
        <f>"9789814733502"</f>
        <v>9789814733502</v>
      </c>
      <c r="D1136" t="str">
        <f>"9789814733519"</f>
        <v>9789814733519</v>
      </c>
      <c r="E1136" t="s">
        <v>4445</v>
      </c>
      <c r="F1136" s="1">
        <v>42607</v>
      </c>
      <c r="G1136" t="s">
        <v>5022</v>
      </c>
      <c r="H1136" t="s">
        <v>4945</v>
      </c>
      <c r="L1136" t="s">
        <v>20</v>
      </c>
      <c r="M1136" t="s">
        <v>5023</v>
      </c>
    </row>
    <row r="1137" spans="1:13" x14ac:dyDescent="0.25">
      <c r="A1137">
        <v>6383195</v>
      </c>
      <c r="B1137" t="s">
        <v>5024</v>
      </c>
      <c r="C1137" t="str">
        <f>"9789814749138"</f>
        <v>9789814749138</v>
      </c>
      <c r="D1137" t="str">
        <f>"9789814749145"</f>
        <v>9789814749145</v>
      </c>
      <c r="E1137" t="s">
        <v>4445</v>
      </c>
      <c r="F1137" s="1">
        <v>42852</v>
      </c>
      <c r="G1137" t="s">
        <v>5025</v>
      </c>
      <c r="H1137" t="s">
        <v>4945</v>
      </c>
      <c r="L1137" t="s">
        <v>20</v>
      </c>
      <c r="M1137" t="s">
        <v>5026</v>
      </c>
    </row>
    <row r="1138" spans="1:13" x14ac:dyDescent="0.25">
      <c r="A1138">
        <v>6383534</v>
      </c>
      <c r="B1138" t="s">
        <v>5027</v>
      </c>
      <c r="C1138" t="str">
        <f>"9789811518300"</f>
        <v>9789811518300</v>
      </c>
      <c r="D1138" t="str">
        <f>"9789811518317"</f>
        <v>9789811518317</v>
      </c>
      <c r="E1138" t="s">
        <v>4099</v>
      </c>
      <c r="F1138" s="1">
        <v>44138</v>
      </c>
      <c r="G1138" t="s">
        <v>5028</v>
      </c>
      <c r="H1138" t="s">
        <v>1753</v>
      </c>
      <c r="I1138" t="s">
        <v>5029</v>
      </c>
      <c r="L1138" t="s">
        <v>20</v>
      </c>
      <c r="M1138" t="s">
        <v>5030</v>
      </c>
    </row>
    <row r="1139" spans="1:13" x14ac:dyDescent="0.25">
      <c r="A1139">
        <v>6383536</v>
      </c>
      <c r="B1139" t="s">
        <v>5031</v>
      </c>
      <c r="C1139" t="str">
        <f>"9783030466350"</f>
        <v>9783030466350</v>
      </c>
      <c r="D1139" t="str">
        <f>"9783030466367"</f>
        <v>9783030466367</v>
      </c>
      <c r="E1139" t="s">
        <v>2905</v>
      </c>
      <c r="F1139" s="1">
        <v>44138</v>
      </c>
      <c r="G1139" t="s">
        <v>5032</v>
      </c>
      <c r="H1139" t="s">
        <v>30</v>
      </c>
      <c r="I1139" t="s">
        <v>5033</v>
      </c>
      <c r="J1139">
        <v>327.17209600000001</v>
      </c>
      <c r="L1139" t="s">
        <v>20</v>
      </c>
      <c r="M1139" t="s">
        <v>5034</v>
      </c>
    </row>
    <row r="1140" spans="1:13" x14ac:dyDescent="0.25">
      <c r="A1140">
        <v>6383586</v>
      </c>
      <c r="B1140" t="s">
        <v>5035</v>
      </c>
      <c r="C1140" t="str">
        <f>"9781484255735"</f>
        <v>9781484255735</v>
      </c>
      <c r="D1140" t="str">
        <f>"9781484255742"</f>
        <v>9781484255742</v>
      </c>
      <c r="E1140" t="s">
        <v>5036</v>
      </c>
      <c r="F1140" s="1">
        <v>44138</v>
      </c>
      <c r="G1140" t="s">
        <v>5037</v>
      </c>
      <c r="H1140" t="s">
        <v>712</v>
      </c>
      <c r="I1140" t="s">
        <v>5038</v>
      </c>
      <c r="L1140" t="s">
        <v>20</v>
      </c>
      <c r="M1140" t="s">
        <v>5039</v>
      </c>
    </row>
    <row r="1141" spans="1:13" x14ac:dyDescent="0.25">
      <c r="A1141">
        <v>6384516</v>
      </c>
      <c r="B1141" t="s">
        <v>5040</v>
      </c>
      <c r="C1141" t="str">
        <f>"9789811556319"</f>
        <v>9789811556319</v>
      </c>
      <c r="D1141" t="str">
        <f>"9789811556326"</f>
        <v>9789811556326</v>
      </c>
      <c r="E1141" t="s">
        <v>4099</v>
      </c>
      <c r="F1141" s="1">
        <v>44139</v>
      </c>
      <c r="G1141" t="s">
        <v>5041</v>
      </c>
      <c r="H1141" t="s">
        <v>266</v>
      </c>
      <c r="I1141" t="s">
        <v>5042</v>
      </c>
      <c r="L1141" t="s">
        <v>20</v>
      </c>
      <c r="M1141" t="s">
        <v>5043</v>
      </c>
    </row>
    <row r="1142" spans="1:13" x14ac:dyDescent="0.25">
      <c r="A1142">
        <v>6384525</v>
      </c>
      <c r="B1142" t="s">
        <v>5044</v>
      </c>
      <c r="C1142" t="str">
        <f>"9783319967516"</f>
        <v>9783319967516</v>
      </c>
      <c r="D1142" t="str">
        <f>"9783319967523"</f>
        <v>9783319967523</v>
      </c>
      <c r="E1142" t="s">
        <v>2905</v>
      </c>
      <c r="F1142" s="1">
        <v>43391</v>
      </c>
      <c r="G1142" t="s">
        <v>5045</v>
      </c>
      <c r="H1142" t="s">
        <v>64</v>
      </c>
      <c r="I1142" t="s">
        <v>5046</v>
      </c>
      <c r="L1142" t="s">
        <v>20</v>
      </c>
      <c r="M1142" t="s">
        <v>5047</v>
      </c>
    </row>
    <row r="1143" spans="1:13" x14ac:dyDescent="0.25">
      <c r="A1143">
        <v>6384526</v>
      </c>
      <c r="B1143" t="s">
        <v>5048</v>
      </c>
      <c r="C1143" t="str">
        <f>"9783030575618"</f>
        <v>9783030575618</v>
      </c>
      <c r="D1143" t="str">
        <f>"9783030575625"</f>
        <v>9783030575625</v>
      </c>
      <c r="E1143" t="s">
        <v>2905</v>
      </c>
      <c r="F1143" s="1">
        <v>44139</v>
      </c>
      <c r="G1143" t="s">
        <v>5049</v>
      </c>
      <c r="H1143" t="s">
        <v>246</v>
      </c>
      <c r="I1143" t="s">
        <v>5050</v>
      </c>
      <c r="J1143">
        <v>792.09418349999999</v>
      </c>
      <c r="L1143" t="s">
        <v>20</v>
      </c>
      <c r="M1143" t="s">
        <v>5051</v>
      </c>
    </row>
    <row r="1144" spans="1:13" x14ac:dyDescent="0.25">
      <c r="A1144">
        <v>6384926</v>
      </c>
      <c r="B1144" t="s">
        <v>5052</v>
      </c>
      <c r="C1144" t="str">
        <f>"9783030570385"</f>
        <v>9783030570385</v>
      </c>
      <c r="D1144" t="str">
        <f>"9783030570392"</f>
        <v>9783030570392</v>
      </c>
      <c r="E1144" t="s">
        <v>2905</v>
      </c>
      <c r="F1144" s="1">
        <v>44140</v>
      </c>
      <c r="G1144" t="s">
        <v>5053</v>
      </c>
      <c r="H1144" t="s">
        <v>363</v>
      </c>
      <c r="I1144" t="s">
        <v>4486</v>
      </c>
      <c r="L1144" t="s">
        <v>20</v>
      </c>
      <c r="M1144" t="s">
        <v>5054</v>
      </c>
    </row>
    <row r="1145" spans="1:13" x14ac:dyDescent="0.25">
      <c r="A1145">
        <v>6385894</v>
      </c>
      <c r="B1145" t="s">
        <v>5055</v>
      </c>
      <c r="C1145" t="str">
        <f>"9789027201034"</f>
        <v>9789027201034</v>
      </c>
      <c r="D1145" t="str">
        <f>"9789027263834"</f>
        <v>9789027263834</v>
      </c>
      <c r="E1145" t="s">
        <v>1728</v>
      </c>
      <c r="F1145" s="1">
        <v>43349</v>
      </c>
      <c r="G1145" t="s">
        <v>5056</v>
      </c>
      <c r="H1145" t="s">
        <v>851</v>
      </c>
      <c r="I1145" t="s">
        <v>5057</v>
      </c>
      <c r="L1145" t="s">
        <v>20</v>
      </c>
      <c r="M1145" t="s">
        <v>5058</v>
      </c>
    </row>
    <row r="1146" spans="1:13" x14ac:dyDescent="0.25">
      <c r="A1146">
        <v>6385895</v>
      </c>
      <c r="B1146" t="s">
        <v>5059</v>
      </c>
      <c r="C1146" t="str">
        <f>"9789027201003"</f>
        <v>9789027201003</v>
      </c>
      <c r="D1146" t="str">
        <f>"9789027263865"</f>
        <v>9789027263865</v>
      </c>
      <c r="E1146" t="s">
        <v>1728</v>
      </c>
      <c r="F1146" s="1">
        <v>43298</v>
      </c>
      <c r="G1146" t="s">
        <v>5060</v>
      </c>
      <c r="H1146" t="s">
        <v>851</v>
      </c>
      <c r="I1146" t="s">
        <v>5061</v>
      </c>
      <c r="L1146" t="s">
        <v>20</v>
      </c>
      <c r="M1146" t="s">
        <v>5062</v>
      </c>
    </row>
    <row r="1147" spans="1:13" x14ac:dyDescent="0.25">
      <c r="A1147">
        <v>6385897</v>
      </c>
      <c r="B1147" t="s">
        <v>5063</v>
      </c>
      <c r="C1147" t="str">
        <f>"9789027203212"</f>
        <v>9789027203212</v>
      </c>
      <c r="D1147" t="str">
        <f>"9789027262493"</f>
        <v>9789027262493</v>
      </c>
      <c r="E1147" t="s">
        <v>1728</v>
      </c>
      <c r="F1147" s="1">
        <v>43627</v>
      </c>
      <c r="G1147" t="s">
        <v>5064</v>
      </c>
      <c r="H1147" t="s">
        <v>266</v>
      </c>
      <c r="I1147" t="s">
        <v>5065</v>
      </c>
      <c r="J1147" t="s">
        <v>5066</v>
      </c>
      <c r="L1147" t="s">
        <v>20</v>
      </c>
      <c r="M1147" t="s">
        <v>5067</v>
      </c>
    </row>
    <row r="1148" spans="1:13" x14ac:dyDescent="0.25">
      <c r="A1148">
        <v>6385912</v>
      </c>
      <c r="B1148" t="s">
        <v>5068</v>
      </c>
      <c r="C1148" t="str">
        <f>"9789027204905"</f>
        <v>9789027204905</v>
      </c>
      <c r="D1148" t="str">
        <f>"9789027261601"</f>
        <v>9789027261601</v>
      </c>
      <c r="E1148" t="s">
        <v>1728</v>
      </c>
      <c r="F1148" s="1">
        <v>43929</v>
      </c>
      <c r="G1148" t="s">
        <v>5069</v>
      </c>
      <c r="H1148" t="s">
        <v>851</v>
      </c>
      <c r="I1148" t="s">
        <v>5070</v>
      </c>
      <c r="L1148" t="s">
        <v>20</v>
      </c>
      <c r="M1148" t="s">
        <v>5071</v>
      </c>
    </row>
    <row r="1149" spans="1:13" x14ac:dyDescent="0.25">
      <c r="A1149">
        <v>6385914</v>
      </c>
      <c r="B1149" t="s">
        <v>5072</v>
      </c>
      <c r="C1149" t="str">
        <f>"9789027202406"</f>
        <v>9789027202406</v>
      </c>
      <c r="D1149" t="str">
        <f>"9789027262769"</f>
        <v>9789027262769</v>
      </c>
      <c r="E1149" t="s">
        <v>1728</v>
      </c>
      <c r="F1149" s="1">
        <v>43517</v>
      </c>
      <c r="G1149" t="s">
        <v>5073</v>
      </c>
      <c r="H1149" t="s">
        <v>851</v>
      </c>
      <c r="I1149" t="s">
        <v>5074</v>
      </c>
      <c r="L1149" t="s">
        <v>20</v>
      </c>
      <c r="M1149" t="s">
        <v>5075</v>
      </c>
    </row>
    <row r="1150" spans="1:13" x14ac:dyDescent="0.25">
      <c r="A1150">
        <v>6385916</v>
      </c>
      <c r="B1150" t="s">
        <v>5076</v>
      </c>
      <c r="C1150" t="str">
        <f>"9789027263124"</f>
        <v>9789027263124</v>
      </c>
      <c r="D1150" t="str">
        <f>"9789027263131"</f>
        <v>9789027263131</v>
      </c>
      <c r="E1150" t="s">
        <v>1728</v>
      </c>
      <c r="F1150" s="1">
        <v>43378</v>
      </c>
      <c r="G1150" t="s">
        <v>5077</v>
      </c>
      <c r="H1150" t="s">
        <v>851</v>
      </c>
      <c r="I1150" t="s">
        <v>5078</v>
      </c>
      <c r="J1150">
        <v>430.04500000000002</v>
      </c>
      <c r="L1150" t="s">
        <v>20</v>
      </c>
      <c r="M1150" t="s">
        <v>5079</v>
      </c>
    </row>
    <row r="1151" spans="1:13" x14ac:dyDescent="0.25">
      <c r="A1151">
        <v>6385918</v>
      </c>
      <c r="B1151" t="s">
        <v>5080</v>
      </c>
      <c r="C1151" t="str">
        <f>"9789027203496"</f>
        <v>9789027203496</v>
      </c>
      <c r="D1151" t="str">
        <f>"9789027262240"</f>
        <v>9789027262240</v>
      </c>
      <c r="E1151" t="s">
        <v>1728</v>
      </c>
      <c r="F1151" s="1">
        <v>43690</v>
      </c>
      <c r="G1151" t="s">
        <v>5081</v>
      </c>
      <c r="H1151" t="s">
        <v>64</v>
      </c>
      <c r="I1151" t="s">
        <v>5082</v>
      </c>
      <c r="L1151" t="s">
        <v>20</v>
      </c>
      <c r="M1151" t="s">
        <v>5083</v>
      </c>
    </row>
    <row r="1152" spans="1:13" x14ac:dyDescent="0.25">
      <c r="A1152">
        <v>6386034</v>
      </c>
      <c r="B1152" t="s">
        <v>5084</v>
      </c>
      <c r="C1152" t="str">
        <f>"9783658320645"</f>
        <v>9783658320645</v>
      </c>
      <c r="D1152" t="str">
        <f>"9783658320652"</f>
        <v>9783658320652</v>
      </c>
      <c r="E1152" t="s">
        <v>4472</v>
      </c>
      <c r="F1152" s="1">
        <v>44141</v>
      </c>
      <c r="G1152" t="s">
        <v>5085</v>
      </c>
      <c r="H1152" t="s">
        <v>363</v>
      </c>
      <c r="I1152" t="s">
        <v>5086</v>
      </c>
      <c r="L1152" t="s">
        <v>291</v>
      </c>
      <c r="M1152" t="s">
        <v>5087</v>
      </c>
    </row>
    <row r="1153" spans="1:13" x14ac:dyDescent="0.25">
      <c r="A1153">
        <v>6386050</v>
      </c>
      <c r="B1153" t="s">
        <v>5088</v>
      </c>
      <c r="C1153" t="str">
        <f>"9783030469504"</f>
        <v>9783030469504</v>
      </c>
      <c r="D1153" t="str">
        <f>"9783030469511"</f>
        <v>9783030469511</v>
      </c>
      <c r="E1153" t="s">
        <v>2905</v>
      </c>
      <c r="F1153" s="1">
        <v>44141</v>
      </c>
      <c r="G1153" t="s">
        <v>5089</v>
      </c>
      <c r="H1153" t="s">
        <v>363</v>
      </c>
      <c r="I1153" t="s">
        <v>5090</v>
      </c>
      <c r="J1153">
        <v>378.01499999999999</v>
      </c>
      <c r="L1153" t="s">
        <v>20</v>
      </c>
      <c r="M1153" t="s">
        <v>5091</v>
      </c>
    </row>
    <row r="1154" spans="1:13" x14ac:dyDescent="0.25">
      <c r="A1154">
        <v>6386056</v>
      </c>
      <c r="B1154" t="s">
        <v>5092</v>
      </c>
      <c r="C1154" t="str">
        <f>"9783662623763"</f>
        <v>9783662623763</v>
      </c>
      <c r="D1154" t="str">
        <f>"9783662623770"</f>
        <v>9783662623770</v>
      </c>
      <c r="E1154" t="s">
        <v>4540</v>
      </c>
      <c r="F1154" s="1">
        <v>44131</v>
      </c>
      <c r="G1154" t="s">
        <v>5093</v>
      </c>
      <c r="H1154" t="s">
        <v>5094</v>
      </c>
      <c r="I1154" t="s">
        <v>5095</v>
      </c>
      <c r="L1154" t="s">
        <v>291</v>
      </c>
      <c r="M1154" t="s">
        <v>5096</v>
      </c>
    </row>
    <row r="1155" spans="1:13" x14ac:dyDescent="0.25">
      <c r="A1155">
        <v>6387545</v>
      </c>
      <c r="B1155" t="s">
        <v>5097</v>
      </c>
      <c r="C1155" t="str">
        <f>"9783030496586"</f>
        <v>9783030496586</v>
      </c>
      <c r="D1155" t="str">
        <f>"9783030496593"</f>
        <v>9783030496593</v>
      </c>
      <c r="E1155" t="s">
        <v>2905</v>
      </c>
      <c r="F1155" s="1">
        <v>44145</v>
      </c>
      <c r="G1155" t="s">
        <v>5098</v>
      </c>
      <c r="H1155" t="s">
        <v>64</v>
      </c>
      <c r="I1155" t="s">
        <v>2908</v>
      </c>
      <c r="J1155">
        <v>306.20940000000002</v>
      </c>
      <c r="L1155" t="s">
        <v>20</v>
      </c>
      <c r="M1155" t="s">
        <v>5099</v>
      </c>
    </row>
    <row r="1156" spans="1:13" x14ac:dyDescent="0.25">
      <c r="A1156">
        <v>6388690</v>
      </c>
      <c r="B1156" t="s">
        <v>5100</v>
      </c>
      <c r="C1156" t="str">
        <f>"9783030563158"</f>
        <v>9783030563158</v>
      </c>
      <c r="D1156" t="str">
        <f>"9783030563165"</f>
        <v>9783030563165</v>
      </c>
      <c r="E1156" t="s">
        <v>2905</v>
      </c>
      <c r="F1156" s="1">
        <v>44146</v>
      </c>
      <c r="G1156" t="s">
        <v>5101</v>
      </c>
      <c r="H1156" t="s">
        <v>363</v>
      </c>
      <c r="I1156" t="s">
        <v>4529</v>
      </c>
      <c r="L1156" t="s">
        <v>20</v>
      </c>
      <c r="M1156" t="s">
        <v>5102</v>
      </c>
    </row>
    <row r="1157" spans="1:13" x14ac:dyDescent="0.25">
      <c r="A1157">
        <v>6395760</v>
      </c>
      <c r="B1157" t="s">
        <v>5103</v>
      </c>
      <c r="C1157" t="str">
        <f>"9783030512361"</f>
        <v>9783030512361</v>
      </c>
      <c r="D1157" t="str">
        <f>"9783030512378"</f>
        <v>9783030512378</v>
      </c>
      <c r="E1157" t="s">
        <v>2905</v>
      </c>
      <c r="F1157" s="1">
        <v>44148</v>
      </c>
      <c r="G1157" t="s">
        <v>4927</v>
      </c>
      <c r="H1157" t="s">
        <v>64</v>
      </c>
      <c r="I1157" t="s">
        <v>2908</v>
      </c>
      <c r="L1157" t="s">
        <v>20</v>
      </c>
      <c r="M1157" t="s">
        <v>5104</v>
      </c>
    </row>
    <row r="1158" spans="1:13" x14ac:dyDescent="0.25">
      <c r="A1158">
        <v>6395763</v>
      </c>
      <c r="B1158" t="s">
        <v>5105</v>
      </c>
      <c r="C1158" t="str">
        <f>"9783030517007"</f>
        <v>9783030517007</v>
      </c>
      <c r="D1158" t="str">
        <f>"9783030517014"</f>
        <v>9783030517014</v>
      </c>
      <c r="E1158" t="s">
        <v>2905</v>
      </c>
      <c r="F1158" s="1">
        <v>44148</v>
      </c>
      <c r="G1158" t="s">
        <v>5106</v>
      </c>
      <c r="H1158" t="s">
        <v>5107</v>
      </c>
      <c r="I1158" t="s">
        <v>5108</v>
      </c>
      <c r="J1158">
        <v>60</v>
      </c>
      <c r="L1158" t="s">
        <v>20</v>
      </c>
      <c r="M1158" t="s">
        <v>5109</v>
      </c>
    </row>
    <row r="1159" spans="1:13" x14ac:dyDescent="0.25">
      <c r="A1159">
        <v>6396089</v>
      </c>
      <c r="B1159" t="s">
        <v>5110</v>
      </c>
      <c r="C1159" t="str">
        <f>"9783658320478"</f>
        <v>9783658320478</v>
      </c>
      <c r="D1159" t="str">
        <f>"9783658320485"</f>
        <v>9783658320485</v>
      </c>
      <c r="E1159" t="s">
        <v>4472</v>
      </c>
      <c r="F1159" s="1">
        <v>44149</v>
      </c>
      <c r="G1159" t="s">
        <v>5111</v>
      </c>
      <c r="H1159" t="s">
        <v>30</v>
      </c>
      <c r="I1159" t="s">
        <v>5112</v>
      </c>
      <c r="L1159" t="s">
        <v>291</v>
      </c>
      <c r="M1159" t="s">
        <v>5113</v>
      </c>
    </row>
    <row r="1160" spans="1:13" x14ac:dyDescent="0.25">
      <c r="A1160">
        <v>6396098</v>
      </c>
      <c r="B1160" t="s">
        <v>5114</v>
      </c>
      <c r="C1160" t="str">
        <f>"9783030539139"</f>
        <v>9783030539139</v>
      </c>
      <c r="D1160" t="str">
        <f>"9783030539146"</f>
        <v>9783030539146</v>
      </c>
      <c r="E1160" t="s">
        <v>2905</v>
      </c>
      <c r="F1160" s="1">
        <v>44149</v>
      </c>
      <c r="G1160" t="s">
        <v>5115</v>
      </c>
      <c r="H1160" t="s">
        <v>1753</v>
      </c>
      <c r="I1160" t="s">
        <v>5116</v>
      </c>
      <c r="L1160" t="s">
        <v>20</v>
      </c>
      <c r="M1160" t="s">
        <v>5117</v>
      </c>
    </row>
    <row r="1161" spans="1:13" x14ac:dyDescent="0.25">
      <c r="A1161">
        <v>6396099</v>
      </c>
      <c r="B1161" t="s">
        <v>5118</v>
      </c>
      <c r="C1161" t="str">
        <f>"9783030484415"</f>
        <v>9783030484415</v>
      </c>
      <c r="D1161" t="str">
        <f>"9783030484422"</f>
        <v>9783030484422</v>
      </c>
      <c r="E1161" t="s">
        <v>2905</v>
      </c>
      <c r="F1161" s="1">
        <v>44149</v>
      </c>
      <c r="G1161" t="s">
        <v>5119</v>
      </c>
      <c r="H1161" t="s">
        <v>64</v>
      </c>
      <c r="I1161" t="s">
        <v>5120</v>
      </c>
      <c r="L1161" t="s">
        <v>20</v>
      </c>
      <c r="M1161" t="s">
        <v>5121</v>
      </c>
    </row>
    <row r="1162" spans="1:13" x14ac:dyDescent="0.25">
      <c r="A1162">
        <v>6396102</v>
      </c>
      <c r="B1162" t="s">
        <v>5122</v>
      </c>
      <c r="C1162" t="str">
        <f>"9783658309190"</f>
        <v>9783658309190</v>
      </c>
      <c r="D1162" t="str">
        <f>"9783658309206"</f>
        <v>9783658309206</v>
      </c>
      <c r="E1162" t="s">
        <v>4472</v>
      </c>
      <c r="F1162" s="1">
        <v>44149</v>
      </c>
      <c r="G1162" t="s">
        <v>5123</v>
      </c>
      <c r="H1162" t="s">
        <v>64</v>
      </c>
      <c r="I1162" t="s">
        <v>4653</v>
      </c>
      <c r="L1162" t="s">
        <v>291</v>
      </c>
      <c r="M1162" t="s">
        <v>5124</v>
      </c>
    </row>
    <row r="1163" spans="1:13" x14ac:dyDescent="0.25">
      <c r="A1163">
        <v>6396950</v>
      </c>
      <c r="B1163" t="s">
        <v>5125</v>
      </c>
      <c r="C1163" t="str">
        <f>""</f>
        <v/>
      </c>
      <c r="D1163" t="str">
        <f>"9783111430157"</f>
        <v>9783111430157</v>
      </c>
      <c r="E1163" t="s">
        <v>350</v>
      </c>
      <c r="F1163" t="s">
        <v>5126</v>
      </c>
      <c r="G1163" t="s">
        <v>5127</v>
      </c>
      <c r="H1163" t="s">
        <v>70</v>
      </c>
      <c r="L1163" t="s">
        <v>291</v>
      </c>
      <c r="M1163" t="s">
        <v>5128</v>
      </c>
    </row>
    <row r="1164" spans="1:13" x14ac:dyDescent="0.25">
      <c r="A1164">
        <v>6402006</v>
      </c>
      <c r="B1164" t="s">
        <v>5129</v>
      </c>
      <c r="C1164" t="str">
        <f>""</f>
        <v/>
      </c>
      <c r="D1164" t="str">
        <f>"9789048551460"</f>
        <v>9789048551460</v>
      </c>
      <c r="E1164" t="s">
        <v>4128</v>
      </c>
      <c r="F1164" s="1">
        <v>44105</v>
      </c>
      <c r="G1164" t="s">
        <v>5130</v>
      </c>
      <c r="H1164" t="s">
        <v>120</v>
      </c>
      <c r="L1164" t="s">
        <v>20</v>
      </c>
      <c r="M1164" t="s">
        <v>5131</v>
      </c>
    </row>
    <row r="1165" spans="1:13" x14ac:dyDescent="0.25">
      <c r="A1165">
        <v>6402066</v>
      </c>
      <c r="B1165" t="s">
        <v>5132</v>
      </c>
      <c r="C1165" t="str">
        <f>"9781789247954"</f>
        <v>9781789247954</v>
      </c>
      <c r="D1165" t="str">
        <f>"9781789247978"</f>
        <v>9781789247978</v>
      </c>
      <c r="E1165" t="s">
        <v>4836</v>
      </c>
      <c r="F1165" s="1">
        <v>44153</v>
      </c>
      <c r="G1165" t="s">
        <v>5133</v>
      </c>
      <c r="H1165" t="s">
        <v>5134</v>
      </c>
      <c r="L1165" t="s">
        <v>20</v>
      </c>
      <c r="M1165" t="s">
        <v>5135</v>
      </c>
    </row>
    <row r="1166" spans="1:13" x14ac:dyDescent="0.25">
      <c r="A1166">
        <v>6402741</v>
      </c>
      <c r="B1166" t="s">
        <v>5136</v>
      </c>
      <c r="C1166" t="str">
        <f>"9781783749829"</f>
        <v>9781783749829</v>
      </c>
      <c r="D1166" t="str">
        <f>"9781783749836"</f>
        <v>9781783749836</v>
      </c>
      <c r="E1166" t="s">
        <v>2270</v>
      </c>
      <c r="F1166" s="1">
        <v>44134</v>
      </c>
      <c r="G1166" t="s">
        <v>4176</v>
      </c>
      <c r="H1166" t="s">
        <v>70</v>
      </c>
      <c r="L1166" t="s">
        <v>20</v>
      </c>
      <c r="M1166" t="s">
        <v>5137</v>
      </c>
    </row>
    <row r="1167" spans="1:13" x14ac:dyDescent="0.25">
      <c r="A1167">
        <v>6402742</v>
      </c>
      <c r="B1167" t="s">
        <v>5138</v>
      </c>
      <c r="C1167" t="str">
        <f>"9781800640542"</f>
        <v>9781800640542</v>
      </c>
      <c r="D1167" t="str">
        <f>"9781800640559"</f>
        <v>9781800640559</v>
      </c>
      <c r="E1167" t="s">
        <v>2270</v>
      </c>
      <c r="F1167" s="1">
        <v>44141</v>
      </c>
      <c r="G1167" t="s">
        <v>5139</v>
      </c>
      <c r="H1167" t="s">
        <v>16</v>
      </c>
      <c r="L1167" t="s">
        <v>20</v>
      </c>
      <c r="M1167" t="s">
        <v>5140</v>
      </c>
    </row>
    <row r="1168" spans="1:13" x14ac:dyDescent="0.25">
      <c r="A1168">
        <v>6402743</v>
      </c>
      <c r="B1168" t="s">
        <v>5141</v>
      </c>
      <c r="C1168" t="str">
        <f>"9781783748976"</f>
        <v>9781783748976</v>
      </c>
      <c r="D1168" t="str">
        <f>"9781783748983"</f>
        <v>9781783748983</v>
      </c>
      <c r="E1168" t="s">
        <v>2270</v>
      </c>
      <c r="F1168" s="1">
        <v>44146</v>
      </c>
      <c r="G1168" t="s">
        <v>3062</v>
      </c>
      <c r="H1168" t="s">
        <v>5142</v>
      </c>
      <c r="L1168" t="s">
        <v>20</v>
      </c>
      <c r="M1168" t="s">
        <v>5143</v>
      </c>
    </row>
    <row r="1169" spans="1:13" x14ac:dyDescent="0.25">
      <c r="A1169">
        <v>6403567</v>
      </c>
      <c r="B1169" t="s">
        <v>5144</v>
      </c>
      <c r="C1169" t="str">
        <f>"9783030612986"</f>
        <v>9783030612986</v>
      </c>
      <c r="D1169" t="str">
        <f>"9783030612993"</f>
        <v>9783030612993</v>
      </c>
      <c r="E1169" t="s">
        <v>2905</v>
      </c>
      <c r="F1169" s="1">
        <v>44155</v>
      </c>
      <c r="G1169" t="s">
        <v>5145</v>
      </c>
      <c r="H1169" t="s">
        <v>5146</v>
      </c>
      <c r="I1169" t="s">
        <v>5147</v>
      </c>
      <c r="J1169">
        <v>507.1</v>
      </c>
      <c r="L1169" t="s">
        <v>20</v>
      </c>
      <c r="M1169" t="s">
        <v>5148</v>
      </c>
    </row>
    <row r="1170" spans="1:13" x14ac:dyDescent="0.25">
      <c r="A1170">
        <v>6403583</v>
      </c>
      <c r="B1170" t="s">
        <v>5149</v>
      </c>
      <c r="C1170" t="str">
        <f>"9789811576829"</f>
        <v>9789811576829</v>
      </c>
      <c r="D1170" t="str">
        <f>"9789811576836"</f>
        <v>9789811576836</v>
      </c>
      <c r="E1170" t="s">
        <v>4099</v>
      </c>
      <c r="F1170" s="1">
        <v>44155</v>
      </c>
      <c r="G1170" t="s">
        <v>5150</v>
      </c>
      <c r="H1170" t="s">
        <v>712</v>
      </c>
      <c r="I1170" t="s">
        <v>5038</v>
      </c>
      <c r="L1170" t="s">
        <v>20</v>
      </c>
      <c r="M1170" t="s">
        <v>5151</v>
      </c>
    </row>
    <row r="1171" spans="1:13" x14ac:dyDescent="0.25">
      <c r="A1171">
        <v>6407544</v>
      </c>
      <c r="B1171" t="s">
        <v>5152</v>
      </c>
      <c r="C1171" t="str">
        <f>"9783030611835"</f>
        <v>9783030611835</v>
      </c>
      <c r="D1171" t="str">
        <f>"9783030611842"</f>
        <v>9783030611842</v>
      </c>
      <c r="E1171" t="s">
        <v>2905</v>
      </c>
      <c r="F1171" s="1">
        <v>44159</v>
      </c>
      <c r="G1171" t="s">
        <v>5153</v>
      </c>
      <c r="H1171" t="s">
        <v>83</v>
      </c>
      <c r="I1171" t="s">
        <v>5154</v>
      </c>
      <c r="L1171" t="s">
        <v>20</v>
      </c>
      <c r="M1171" t="s">
        <v>5155</v>
      </c>
    </row>
    <row r="1172" spans="1:13" x14ac:dyDescent="0.25">
      <c r="A1172">
        <v>6407566</v>
      </c>
      <c r="B1172" t="s">
        <v>5156</v>
      </c>
      <c r="C1172" t="str">
        <f>"9783030285609"</f>
        <v>9783030285609</v>
      </c>
      <c r="D1172" t="str">
        <f>"9783030285616"</f>
        <v>9783030285616</v>
      </c>
      <c r="E1172" t="s">
        <v>2905</v>
      </c>
      <c r="F1172" s="1">
        <v>44159</v>
      </c>
      <c r="G1172" t="s">
        <v>5157</v>
      </c>
      <c r="H1172" t="s">
        <v>1178</v>
      </c>
      <c r="I1172" t="s">
        <v>4084</v>
      </c>
      <c r="L1172" t="s">
        <v>20</v>
      </c>
      <c r="M1172" t="s">
        <v>5158</v>
      </c>
    </row>
    <row r="1173" spans="1:13" x14ac:dyDescent="0.25">
      <c r="A1173">
        <v>6407583</v>
      </c>
      <c r="B1173" t="s">
        <v>5159</v>
      </c>
      <c r="C1173" t="str">
        <f>"9783030590307"</f>
        <v>9783030590307</v>
      </c>
      <c r="D1173" t="str">
        <f>"9783030590314"</f>
        <v>9783030590314</v>
      </c>
      <c r="E1173" t="s">
        <v>2905</v>
      </c>
      <c r="F1173" s="1">
        <v>44159</v>
      </c>
      <c r="G1173" t="s">
        <v>5160</v>
      </c>
      <c r="H1173" t="s">
        <v>363</v>
      </c>
      <c r="I1173" t="s">
        <v>4235</v>
      </c>
      <c r="L1173" t="s">
        <v>20</v>
      </c>
      <c r="M1173" t="s">
        <v>5161</v>
      </c>
    </row>
    <row r="1174" spans="1:13" x14ac:dyDescent="0.25">
      <c r="A1174">
        <v>6407613</v>
      </c>
      <c r="B1174" t="s">
        <v>5162</v>
      </c>
      <c r="C1174" t="str">
        <f>"9783030362829"</f>
        <v>9783030362829</v>
      </c>
      <c r="D1174" t="str">
        <f>"9783030362836"</f>
        <v>9783030362836</v>
      </c>
      <c r="E1174" t="s">
        <v>2905</v>
      </c>
      <c r="F1174" s="1">
        <v>44159</v>
      </c>
      <c r="G1174" t="s">
        <v>5163</v>
      </c>
      <c r="H1174" t="s">
        <v>1283</v>
      </c>
      <c r="I1174" t="s">
        <v>4833</v>
      </c>
      <c r="L1174" t="s">
        <v>20</v>
      </c>
      <c r="M1174" t="s">
        <v>5164</v>
      </c>
    </row>
    <row r="1175" spans="1:13" x14ac:dyDescent="0.25">
      <c r="A1175">
        <v>6407626</v>
      </c>
      <c r="B1175" t="s">
        <v>5165</v>
      </c>
      <c r="C1175" t="str">
        <f>"9783662615836"</f>
        <v>9783662615836</v>
      </c>
      <c r="D1175" t="str">
        <f>"9783662615843"</f>
        <v>9783662615843</v>
      </c>
      <c r="E1175" t="s">
        <v>4540</v>
      </c>
      <c r="F1175" s="1">
        <v>44159</v>
      </c>
      <c r="G1175" t="s">
        <v>5166</v>
      </c>
      <c r="H1175" t="s">
        <v>1328</v>
      </c>
      <c r="I1175" t="s">
        <v>5167</v>
      </c>
      <c r="L1175" t="s">
        <v>291</v>
      </c>
      <c r="M1175" t="s">
        <v>5168</v>
      </c>
    </row>
    <row r="1176" spans="1:13" x14ac:dyDescent="0.25">
      <c r="A1176">
        <v>6407629</v>
      </c>
      <c r="B1176" t="s">
        <v>5169</v>
      </c>
      <c r="C1176" t="str">
        <f>"9783030626617"</f>
        <v>9783030626617</v>
      </c>
      <c r="D1176" t="str">
        <f>"9783030626624"</f>
        <v>9783030626624</v>
      </c>
      <c r="E1176" t="s">
        <v>2905</v>
      </c>
      <c r="F1176" s="1">
        <v>44159</v>
      </c>
      <c r="G1176" t="s">
        <v>5170</v>
      </c>
      <c r="H1176" t="s">
        <v>5171</v>
      </c>
      <c r="I1176" t="s">
        <v>4753</v>
      </c>
      <c r="J1176">
        <v>616.90409999999997</v>
      </c>
      <c r="L1176" t="s">
        <v>20</v>
      </c>
      <c r="M1176" t="s">
        <v>5172</v>
      </c>
    </row>
    <row r="1177" spans="1:13" x14ac:dyDescent="0.25">
      <c r="A1177">
        <v>6407993</v>
      </c>
      <c r="B1177" t="s">
        <v>5173</v>
      </c>
      <c r="C1177" t="str">
        <f>"9783030601232"</f>
        <v>9783030601232</v>
      </c>
      <c r="D1177" t="str">
        <f>"9783030601249"</f>
        <v>9783030601249</v>
      </c>
      <c r="E1177" t="s">
        <v>2905</v>
      </c>
      <c r="F1177" s="1">
        <v>44159</v>
      </c>
      <c r="G1177" t="s">
        <v>5174</v>
      </c>
      <c r="H1177" t="s">
        <v>4915</v>
      </c>
      <c r="I1177" t="s">
        <v>5175</v>
      </c>
      <c r="L1177" t="s">
        <v>20</v>
      </c>
      <c r="M1177" t="s">
        <v>5176</v>
      </c>
    </row>
    <row r="1178" spans="1:13" x14ac:dyDescent="0.25">
      <c r="A1178">
        <v>6416822</v>
      </c>
      <c r="B1178" t="s">
        <v>5177</v>
      </c>
      <c r="C1178" t="str">
        <f>"9781789241853"</f>
        <v>9781789241853</v>
      </c>
      <c r="D1178" t="str">
        <f>"9781789245585"</f>
        <v>9781789245585</v>
      </c>
      <c r="E1178" t="s">
        <v>4836</v>
      </c>
      <c r="F1178" s="1">
        <v>43855</v>
      </c>
      <c r="G1178" t="s">
        <v>5178</v>
      </c>
      <c r="H1178" t="s">
        <v>266</v>
      </c>
      <c r="L1178" t="s">
        <v>20</v>
      </c>
      <c r="M1178" t="s">
        <v>5179</v>
      </c>
    </row>
    <row r="1179" spans="1:13" x14ac:dyDescent="0.25">
      <c r="A1179">
        <v>6417073</v>
      </c>
      <c r="B1179" t="s">
        <v>5180</v>
      </c>
      <c r="C1179" t="str">
        <f>"9783030579371"</f>
        <v>9783030579371</v>
      </c>
      <c r="D1179" t="str">
        <f>"9783030579388"</f>
        <v>9783030579388</v>
      </c>
      <c r="E1179" t="s">
        <v>2905</v>
      </c>
      <c r="F1179" s="1">
        <v>44166</v>
      </c>
      <c r="G1179" t="s">
        <v>5181</v>
      </c>
      <c r="H1179" t="s">
        <v>5182</v>
      </c>
      <c r="I1179" t="s">
        <v>5033</v>
      </c>
      <c r="J1179">
        <v>338.92700000000002</v>
      </c>
      <c r="L1179" t="s">
        <v>20</v>
      </c>
      <c r="M1179" t="s">
        <v>5183</v>
      </c>
    </row>
    <row r="1180" spans="1:13" x14ac:dyDescent="0.25">
      <c r="A1180">
        <v>6417076</v>
      </c>
      <c r="B1180" t="s">
        <v>5184</v>
      </c>
      <c r="C1180" t="str">
        <f>"9789811574962"</f>
        <v>9789811574962</v>
      </c>
      <c r="D1180" t="str">
        <f>"9789811574979"</f>
        <v>9789811574979</v>
      </c>
      <c r="E1180" t="s">
        <v>2906</v>
      </c>
      <c r="F1180" s="1">
        <v>44166</v>
      </c>
      <c r="G1180" t="s">
        <v>5185</v>
      </c>
      <c r="H1180" t="s">
        <v>363</v>
      </c>
      <c r="I1180" t="s">
        <v>5186</v>
      </c>
      <c r="L1180" t="s">
        <v>20</v>
      </c>
      <c r="M1180" t="s">
        <v>5187</v>
      </c>
    </row>
    <row r="1181" spans="1:13" x14ac:dyDescent="0.25">
      <c r="A1181">
        <v>6417096</v>
      </c>
      <c r="B1181" t="s">
        <v>5188</v>
      </c>
      <c r="C1181" t="str">
        <f>"9783030615116"</f>
        <v>9783030615116</v>
      </c>
      <c r="D1181" t="str">
        <f>"9783030615123"</f>
        <v>9783030615123</v>
      </c>
      <c r="E1181" t="s">
        <v>2905</v>
      </c>
      <c r="F1181" s="1">
        <v>44166</v>
      </c>
      <c r="G1181" t="s">
        <v>5189</v>
      </c>
      <c r="H1181" t="s">
        <v>239</v>
      </c>
      <c r="I1181" t="s">
        <v>4726</v>
      </c>
      <c r="J1181">
        <v>342.49408299999999</v>
      </c>
      <c r="L1181" t="s">
        <v>20</v>
      </c>
      <c r="M1181" t="s">
        <v>5190</v>
      </c>
    </row>
    <row r="1182" spans="1:13" x14ac:dyDescent="0.25">
      <c r="A1182">
        <v>6417097</v>
      </c>
      <c r="B1182" t="s">
        <v>5191</v>
      </c>
      <c r="C1182" t="str">
        <f>"9783662621943"</f>
        <v>9783662621943</v>
      </c>
      <c r="D1182" t="str">
        <f>"9783662621950"</f>
        <v>9783662621950</v>
      </c>
      <c r="E1182" t="s">
        <v>4540</v>
      </c>
      <c r="F1182" s="1">
        <v>44166</v>
      </c>
      <c r="G1182" t="s">
        <v>5192</v>
      </c>
      <c r="H1182" t="s">
        <v>4465</v>
      </c>
      <c r="I1182" t="s">
        <v>5193</v>
      </c>
      <c r="L1182" t="s">
        <v>291</v>
      </c>
      <c r="M1182" t="s">
        <v>5194</v>
      </c>
    </row>
    <row r="1183" spans="1:13" x14ac:dyDescent="0.25">
      <c r="A1183">
        <v>6417113</v>
      </c>
      <c r="B1183" t="s">
        <v>5195</v>
      </c>
      <c r="C1183" t="str">
        <f>"9783662615218"</f>
        <v>9783662615218</v>
      </c>
      <c r="D1183" t="str">
        <f>"9783662615225"</f>
        <v>9783662615225</v>
      </c>
      <c r="E1183" t="s">
        <v>4540</v>
      </c>
      <c r="F1183" s="1">
        <v>44148</v>
      </c>
      <c r="G1183" t="s">
        <v>5196</v>
      </c>
      <c r="H1183" t="s">
        <v>83</v>
      </c>
      <c r="I1183" t="s">
        <v>4615</v>
      </c>
      <c r="L1183" t="s">
        <v>291</v>
      </c>
      <c r="M1183" t="s">
        <v>5197</v>
      </c>
    </row>
    <row r="1184" spans="1:13" x14ac:dyDescent="0.25">
      <c r="A1184">
        <v>6417118</v>
      </c>
      <c r="B1184" t="s">
        <v>5198</v>
      </c>
      <c r="C1184" t="str">
        <f>"9783030626686"</f>
        <v>9783030626686</v>
      </c>
      <c r="D1184" t="str">
        <f>"9783030626693"</f>
        <v>9783030626693</v>
      </c>
      <c r="E1184" t="s">
        <v>2905</v>
      </c>
      <c r="F1184" s="1">
        <v>44166</v>
      </c>
      <c r="G1184" t="s">
        <v>5199</v>
      </c>
      <c r="H1184" t="s">
        <v>169</v>
      </c>
      <c r="I1184" t="s">
        <v>3731</v>
      </c>
      <c r="J1184">
        <v>338.92700000000002</v>
      </c>
      <c r="L1184" t="s">
        <v>20</v>
      </c>
      <c r="M1184" t="s">
        <v>5200</v>
      </c>
    </row>
    <row r="1185" spans="1:13" x14ac:dyDescent="0.25">
      <c r="A1185">
        <v>6417126</v>
      </c>
      <c r="B1185" t="s">
        <v>5201</v>
      </c>
      <c r="C1185" t="str">
        <f>"9783658318208"</f>
        <v>9783658318208</v>
      </c>
      <c r="D1185" t="str">
        <f>"9783658318215"</f>
        <v>9783658318215</v>
      </c>
      <c r="E1185" t="s">
        <v>4472</v>
      </c>
      <c r="F1185" s="1">
        <v>44197</v>
      </c>
      <c r="G1185" t="s">
        <v>5202</v>
      </c>
      <c r="H1185" t="s">
        <v>30</v>
      </c>
      <c r="I1185" t="s">
        <v>4807</v>
      </c>
      <c r="L1185" t="s">
        <v>20</v>
      </c>
      <c r="M1185" t="s">
        <v>5203</v>
      </c>
    </row>
    <row r="1186" spans="1:13" x14ac:dyDescent="0.25">
      <c r="A1186">
        <v>6417135</v>
      </c>
      <c r="B1186" t="s">
        <v>5204</v>
      </c>
      <c r="C1186" t="str">
        <f>"9783030555399"</f>
        <v>9783030555399</v>
      </c>
      <c r="D1186" t="str">
        <f>"9783030555405"</f>
        <v>9783030555405</v>
      </c>
      <c r="E1186" t="s">
        <v>2905</v>
      </c>
      <c r="F1186" s="1">
        <v>44166</v>
      </c>
      <c r="G1186" t="s">
        <v>5205</v>
      </c>
      <c r="H1186" t="s">
        <v>743</v>
      </c>
      <c r="I1186" t="s">
        <v>5206</v>
      </c>
      <c r="J1186">
        <v>303.48240569400002</v>
      </c>
      <c r="L1186" t="s">
        <v>20</v>
      </c>
      <c r="M1186" t="s">
        <v>5207</v>
      </c>
    </row>
    <row r="1187" spans="1:13" x14ac:dyDescent="0.25">
      <c r="A1187">
        <v>6420681</v>
      </c>
      <c r="B1187" t="s">
        <v>5208</v>
      </c>
      <c r="C1187" t="str">
        <f>"9783030498245"</f>
        <v>9783030498245</v>
      </c>
      <c r="D1187" t="str">
        <f>"9783030498252"</f>
        <v>9783030498252</v>
      </c>
      <c r="E1187" t="s">
        <v>2905</v>
      </c>
      <c r="F1187" s="1">
        <v>44169</v>
      </c>
      <c r="G1187" t="s">
        <v>5209</v>
      </c>
      <c r="H1187" t="s">
        <v>239</v>
      </c>
      <c r="I1187" t="s">
        <v>5210</v>
      </c>
      <c r="L1187" t="s">
        <v>20</v>
      </c>
      <c r="M1187" t="s">
        <v>5211</v>
      </c>
    </row>
    <row r="1188" spans="1:13" x14ac:dyDescent="0.25">
      <c r="A1188">
        <v>6420687</v>
      </c>
      <c r="B1188" t="s">
        <v>5212</v>
      </c>
      <c r="C1188" t="str">
        <f>"9783030586164"</f>
        <v>9783030586164</v>
      </c>
      <c r="D1188" t="str">
        <f>"9783030586171"</f>
        <v>9783030586171</v>
      </c>
      <c r="E1188" t="s">
        <v>2905</v>
      </c>
      <c r="F1188" s="1">
        <v>44169</v>
      </c>
      <c r="G1188" t="s">
        <v>5213</v>
      </c>
      <c r="H1188" t="s">
        <v>712</v>
      </c>
      <c r="I1188" t="s">
        <v>4774</v>
      </c>
      <c r="L1188" t="s">
        <v>20</v>
      </c>
      <c r="M1188" t="s">
        <v>5214</v>
      </c>
    </row>
    <row r="1189" spans="1:13" x14ac:dyDescent="0.25">
      <c r="A1189">
        <v>6420690</v>
      </c>
      <c r="B1189" t="s">
        <v>5215</v>
      </c>
      <c r="C1189" t="str">
        <f>"9789462654181"</f>
        <v>9789462654181</v>
      </c>
      <c r="D1189" t="str">
        <f>"9789462654198"</f>
        <v>9789462654198</v>
      </c>
      <c r="E1189" t="s">
        <v>5216</v>
      </c>
      <c r="F1189" s="1">
        <v>44169</v>
      </c>
      <c r="G1189" t="s">
        <v>5217</v>
      </c>
      <c r="H1189" t="s">
        <v>766</v>
      </c>
      <c r="I1189" t="s">
        <v>5218</v>
      </c>
      <c r="L1189" t="s">
        <v>20</v>
      </c>
      <c r="M1189" t="s">
        <v>5219</v>
      </c>
    </row>
    <row r="1190" spans="1:13" x14ac:dyDescent="0.25">
      <c r="A1190">
        <v>6420694</v>
      </c>
      <c r="B1190" t="s">
        <v>5220</v>
      </c>
      <c r="C1190" t="str">
        <f>"9783030579265"</f>
        <v>9783030579265</v>
      </c>
      <c r="D1190" t="str">
        <f>"9783030579272"</f>
        <v>9783030579272</v>
      </c>
      <c r="E1190" t="s">
        <v>2905</v>
      </c>
      <c r="F1190" s="1">
        <v>44169</v>
      </c>
      <c r="G1190" t="s">
        <v>5053</v>
      </c>
      <c r="H1190" t="s">
        <v>83</v>
      </c>
      <c r="I1190" t="s">
        <v>5221</v>
      </c>
      <c r="L1190" t="s">
        <v>20</v>
      </c>
      <c r="M1190" t="s">
        <v>5222</v>
      </c>
    </row>
    <row r="1191" spans="1:13" x14ac:dyDescent="0.25">
      <c r="A1191">
        <v>6420716</v>
      </c>
      <c r="B1191" t="s">
        <v>5223</v>
      </c>
      <c r="C1191" t="str">
        <f>"9789811597848"</f>
        <v>9789811597848</v>
      </c>
      <c r="D1191" t="str">
        <f>"9789811597855"</f>
        <v>9789811597855</v>
      </c>
      <c r="E1191" t="s">
        <v>4099</v>
      </c>
      <c r="F1191" s="1">
        <v>44169</v>
      </c>
      <c r="G1191" t="s">
        <v>5224</v>
      </c>
      <c r="H1191" t="s">
        <v>2623</v>
      </c>
      <c r="I1191" t="s">
        <v>5225</v>
      </c>
      <c r="L1191" t="s">
        <v>20</v>
      </c>
      <c r="M1191" t="s">
        <v>5226</v>
      </c>
    </row>
    <row r="1192" spans="1:13" x14ac:dyDescent="0.25">
      <c r="A1192">
        <v>6421889</v>
      </c>
      <c r="B1192" t="s">
        <v>5227</v>
      </c>
      <c r="C1192" t="str">
        <f>"9783662621783"</f>
        <v>9783662621783</v>
      </c>
      <c r="D1192" t="str">
        <f>"9783662621790"</f>
        <v>9783662621790</v>
      </c>
      <c r="E1192" t="s">
        <v>4540</v>
      </c>
      <c r="F1192" s="1">
        <v>44173</v>
      </c>
      <c r="G1192" t="s">
        <v>5228</v>
      </c>
      <c r="H1192" t="s">
        <v>239</v>
      </c>
      <c r="I1192" t="s">
        <v>5229</v>
      </c>
      <c r="L1192" t="s">
        <v>291</v>
      </c>
      <c r="M1192" t="s">
        <v>5230</v>
      </c>
    </row>
    <row r="1193" spans="1:13" x14ac:dyDescent="0.25">
      <c r="A1193">
        <v>6422500</v>
      </c>
      <c r="B1193" t="s">
        <v>5231</v>
      </c>
      <c r="C1193" t="str">
        <f>"9783319633053"</f>
        <v>9783319633053</v>
      </c>
      <c r="D1193" t="str">
        <f>"9783319633060"</f>
        <v>9783319633060</v>
      </c>
      <c r="E1193" t="s">
        <v>2905</v>
      </c>
      <c r="F1193" s="1">
        <v>43234</v>
      </c>
      <c r="G1193" t="s">
        <v>5232</v>
      </c>
      <c r="H1193" t="s">
        <v>30</v>
      </c>
      <c r="I1193" t="s">
        <v>4676</v>
      </c>
      <c r="L1193" t="s">
        <v>20</v>
      </c>
      <c r="M1193" t="s">
        <v>5233</v>
      </c>
    </row>
    <row r="1194" spans="1:13" x14ac:dyDescent="0.25">
      <c r="A1194">
        <v>6422501</v>
      </c>
      <c r="B1194" t="s">
        <v>5234</v>
      </c>
      <c r="C1194" t="str">
        <f>"9789812872449"</f>
        <v>9789812872449</v>
      </c>
      <c r="D1194" t="str">
        <f>"9789812872456"</f>
        <v>9789812872456</v>
      </c>
      <c r="E1194" t="s">
        <v>4099</v>
      </c>
      <c r="F1194" s="1">
        <v>41960</v>
      </c>
      <c r="G1194" t="s">
        <v>5235</v>
      </c>
      <c r="H1194" t="s">
        <v>5236</v>
      </c>
      <c r="I1194" t="s">
        <v>5237</v>
      </c>
      <c r="L1194" t="s">
        <v>20</v>
      </c>
      <c r="M1194" t="s">
        <v>5238</v>
      </c>
    </row>
    <row r="1195" spans="1:13" x14ac:dyDescent="0.25">
      <c r="A1195">
        <v>6422502</v>
      </c>
      <c r="B1195" t="s">
        <v>5239</v>
      </c>
      <c r="C1195" t="str">
        <f>"9783319296548"</f>
        <v>9783319296548</v>
      </c>
      <c r="D1195" t="str">
        <f>"9783319296555"</f>
        <v>9783319296555</v>
      </c>
      <c r="E1195" t="s">
        <v>2905</v>
      </c>
      <c r="F1195" s="1">
        <v>42473</v>
      </c>
      <c r="G1195" t="s">
        <v>5240</v>
      </c>
      <c r="H1195" t="s">
        <v>1178</v>
      </c>
      <c r="I1195" t="s">
        <v>4084</v>
      </c>
      <c r="J1195">
        <v>510.71</v>
      </c>
      <c r="L1195" t="s">
        <v>20</v>
      </c>
      <c r="M1195" t="s">
        <v>5241</v>
      </c>
    </row>
    <row r="1196" spans="1:13" x14ac:dyDescent="0.25">
      <c r="A1196">
        <v>6422503</v>
      </c>
      <c r="B1196" t="s">
        <v>5242</v>
      </c>
      <c r="C1196" t="str">
        <f>"9781137476647"</f>
        <v>9781137476647</v>
      </c>
      <c r="D1196" t="str">
        <f>"9781137476661"</f>
        <v>9781137476661</v>
      </c>
      <c r="E1196" t="s">
        <v>4626</v>
      </c>
      <c r="F1196" s="1">
        <v>41915</v>
      </c>
      <c r="G1196" t="s">
        <v>5243</v>
      </c>
      <c r="H1196" t="s">
        <v>64</v>
      </c>
      <c r="I1196" t="s">
        <v>4661</v>
      </c>
      <c r="L1196" t="s">
        <v>20</v>
      </c>
      <c r="M1196" t="s">
        <v>5244</v>
      </c>
    </row>
    <row r="1197" spans="1:13" x14ac:dyDescent="0.25">
      <c r="A1197">
        <v>6422506</v>
      </c>
      <c r="B1197" t="s">
        <v>5245</v>
      </c>
      <c r="C1197" t="str">
        <f>"9783319397436"</f>
        <v>9783319397436</v>
      </c>
      <c r="D1197" t="str">
        <f>"9783319397450"</f>
        <v>9783319397450</v>
      </c>
      <c r="E1197" t="s">
        <v>2905</v>
      </c>
      <c r="F1197" s="1">
        <v>42633</v>
      </c>
      <c r="G1197" t="s">
        <v>5246</v>
      </c>
      <c r="H1197" t="s">
        <v>2569</v>
      </c>
      <c r="I1197" t="s">
        <v>5247</v>
      </c>
      <c r="L1197" t="s">
        <v>20</v>
      </c>
      <c r="M1197" t="s">
        <v>5248</v>
      </c>
    </row>
    <row r="1198" spans="1:13" x14ac:dyDescent="0.25">
      <c r="A1198">
        <v>6422507</v>
      </c>
      <c r="B1198" t="s">
        <v>5249</v>
      </c>
      <c r="C1198" t="str">
        <f>"9784431543930"</f>
        <v>9784431543930</v>
      </c>
      <c r="D1198" t="str">
        <f>"9784431543947"</f>
        <v>9784431543947</v>
      </c>
      <c r="E1198" t="s">
        <v>4510</v>
      </c>
      <c r="F1198" s="1">
        <v>41375</v>
      </c>
      <c r="G1198" t="s">
        <v>5250</v>
      </c>
      <c r="H1198" t="s">
        <v>712</v>
      </c>
      <c r="I1198" t="s">
        <v>5251</v>
      </c>
      <c r="L1198" t="s">
        <v>20</v>
      </c>
      <c r="M1198" t="s">
        <v>5252</v>
      </c>
    </row>
    <row r="1199" spans="1:13" x14ac:dyDescent="0.25">
      <c r="A1199">
        <v>6422508</v>
      </c>
      <c r="B1199" t="s">
        <v>5253</v>
      </c>
      <c r="C1199" t="str">
        <f>"9789811060106"</f>
        <v>9789811060106</v>
      </c>
      <c r="D1199" t="str">
        <f>"9789811060113"</f>
        <v>9789811060113</v>
      </c>
      <c r="E1199" t="s">
        <v>4099</v>
      </c>
      <c r="F1199" s="1">
        <v>43045</v>
      </c>
      <c r="G1199" t="s">
        <v>5254</v>
      </c>
      <c r="H1199" t="s">
        <v>239</v>
      </c>
      <c r="I1199" t="s">
        <v>5229</v>
      </c>
      <c r="L1199" t="s">
        <v>20</v>
      </c>
      <c r="M1199" t="s">
        <v>5255</v>
      </c>
    </row>
    <row r="1200" spans="1:13" x14ac:dyDescent="0.25">
      <c r="A1200">
        <v>6422509</v>
      </c>
      <c r="B1200" t="s">
        <v>5256</v>
      </c>
      <c r="C1200" t="str">
        <f>"9783319425887"</f>
        <v>9783319425887</v>
      </c>
      <c r="D1200" t="str">
        <f>"9783319425894"</f>
        <v>9783319425894</v>
      </c>
      <c r="E1200" t="s">
        <v>2905</v>
      </c>
      <c r="F1200" s="1">
        <v>42597</v>
      </c>
      <c r="G1200" t="s">
        <v>5257</v>
      </c>
      <c r="H1200" t="s">
        <v>1178</v>
      </c>
      <c r="I1200" t="s">
        <v>4084</v>
      </c>
      <c r="L1200" t="s">
        <v>20</v>
      </c>
      <c r="M1200" t="s">
        <v>5258</v>
      </c>
    </row>
    <row r="1201" spans="1:13" x14ac:dyDescent="0.25">
      <c r="A1201">
        <v>6422510</v>
      </c>
      <c r="B1201" t="s">
        <v>5259</v>
      </c>
      <c r="C1201" t="str">
        <f>"9783030111489"</f>
        <v>9783030111489</v>
      </c>
      <c r="D1201" t="str">
        <f>"9783030111496"</f>
        <v>9783030111496</v>
      </c>
      <c r="E1201" t="s">
        <v>2905</v>
      </c>
      <c r="F1201" s="1">
        <v>43530</v>
      </c>
      <c r="G1201" t="s">
        <v>5260</v>
      </c>
      <c r="H1201" t="s">
        <v>266</v>
      </c>
      <c r="I1201" t="s">
        <v>4699</v>
      </c>
      <c r="L1201" t="s">
        <v>20</v>
      </c>
      <c r="M1201" t="s">
        <v>5261</v>
      </c>
    </row>
    <row r="1202" spans="1:13" x14ac:dyDescent="0.25">
      <c r="A1202">
        <v>6422511</v>
      </c>
      <c r="B1202" t="s">
        <v>5262</v>
      </c>
      <c r="C1202" t="str">
        <f>"9783319429687"</f>
        <v>9783319429687</v>
      </c>
      <c r="D1202" t="str">
        <f>"9783319429700"</f>
        <v>9783319429700</v>
      </c>
      <c r="E1202" t="s">
        <v>2905</v>
      </c>
      <c r="F1202" s="1">
        <v>42719</v>
      </c>
      <c r="G1202" t="s">
        <v>5263</v>
      </c>
      <c r="H1202" t="s">
        <v>64</v>
      </c>
      <c r="I1202" t="s">
        <v>5264</v>
      </c>
      <c r="L1202" t="s">
        <v>20</v>
      </c>
      <c r="M1202" t="s">
        <v>5265</v>
      </c>
    </row>
    <row r="1203" spans="1:13" x14ac:dyDescent="0.25">
      <c r="A1203">
        <v>6422512</v>
      </c>
      <c r="B1203" t="s">
        <v>5266</v>
      </c>
      <c r="C1203" t="str">
        <f>"9783319620176"</f>
        <v>9783319620176</v>
      </c>
      <c r="D1203" t="str">
        <f>"9783319620183"</f>
        <v>9783319620183</v>
      </c>
      <c r="E1203" t="s">
        <v>2905</v>
      </c>
      <c r="F1203" s="1">
        <v>43084</v>
      </c>
      <c r="G1203" t="s">
        <v>5267</v>
      </c>
      <c r="H1203" t="s">
        <v>64</v>
      </c>
      <c r="I1203" t="s">
        <v>5268</v>
      </c>
      <c r="J1203">
        <v>364.66094110903299</v>
      </c>
      <c r="L1203" t="s">
        <v>20</v>
      </c>
      <c r="M1203" t="s">
        <v>5269</v>
      </c>
    </row>
    <row r="1204" spans="1:13" x14ac:dyDescent="0.25">
      <c r="A1204">
        <v>6422513</v>
      </c>
      <c r="B1204" t="s">
        <v>5270</v>
      </c>
      <c r="C1204" t="str">
        <f>"9781430263555"</f>
        <v>9781430263555</v>
      </c>
      <c r="D1204" t="str">
        <f>"9781430263562"</f>
        <v>9781430263562</v>
      </c>
      <c r="E1204" t="s">
        <v>5036</v>
      </c>
      <c r="F1204" s="1">
        <v>41666</v>
      </c>
      <c r="G1204" t="s">
        <v>5271</v>
      </c>
      <c r="H1204" t="s">
        <v>712</v>
      </c>
      <c r="I1204" t="s">
        <v>5272</v>
      </c>
      <c r="L1204" t="s">
        <v>20</v>
      </c>
      <c r="M1204" t="s">
        <v>5273</v>
      </c>
    </row>
    <row r="1205" spans="1:13" x14ac:dyDescent="0.25">
      <c r="A1205">
        <v>6422514</v>
      </c>
      <c r="B1205" t="s">
        <v>5274</v>
      </c>
      <c r="C1205" t="str">
        <f>"9781484201015"</f>
        <v>9781484201015</v>
      </c>
      <c r="D1205" t="str">
        <f>"9781484201008"</f>
        <v>9781484201008</v>
      </c>
      <c r="E1205" t="s">
        <v>5036</v>
      </c>
      <c r="F1205" s="1">
        <v>41878</v>
      </c>
      <c r="G1205" t="s">
        <v>5275</v>
      </c>
      <c r="H1205" t="s">
        <v>712</v>
      </c>
      <c r="I1205" t="s">
        <v>5276</v>
      </c>
      <c r="L1205" t="s">
        <v>20</v>
      </c>
      <c r="M1205" t="s">
        <v>5277</v>
      </c>
    </row>
    <row r="1206" spans="1:13" x14ac:dyDescent="0.25">
      <c r="A1206">
        <v>6422515</v>
      </c>
      <c r="B1206" t="s">
        <v>5278</v>
      </c>
      <c r="C1206" t="str">
        <f>"9783319316215"</f>
        <v>9783319316215</v>
      </c>
      <c r="D1206" t="str">
        <f>"9783319316222"</f>
        <v>9783319316222</v>
      </c>
      <c r="E1206" t="s">
        <v>2905</v>
      </c>
      <c r="F1206" s="1">
        <v>42572</v>
      </c>
      <c r="G1206" t="s">
        <v>5279</v>
      </c>
      <c r="H1206" t="s">
        <v>1178</v>
      </c>
      <c r="I1206" t="s">
        <v>4084</v>
      </c>
      <c r="L1206" t="s">
        <v>20</v>
      </c>
      <c r="M1206" t="s">
        <v>5280</v>
      </c>
    </row>
    <row r="1207" spans="1:13" x14ac:dyDescent="0.25">
      <c r="A1207">
        <v>6422516</v>
      </c>
      <c r="B1207" t="s">
        <v>5281</v>
      </c>
      <c r="C1207" t="str">
        <f>"9783319951287"</f>
        <v>9783319951287</v>
      </c>
      <c r="D1207" t="str">
        <f>"9783319951294"</f>
        <v>9783319951294</v>
      </c>
      <c r="E1207" t="s">
        <v>2905</v>
      </c>
      <c r="F1207" s="1">
        <v>43383</v>
      </c>
      <c r="G1207" t="s">
        <v>5282</v>
      </c>
      <c r="H1207" t="s">
        <v>4347</v>
      </c>
      <c r="I1207" t="s">
        <v>4520</v>
      </c>
      <c r="L1207" t="s">
        <v>20</v>
      </c>
      <c r="M1207" t="s">
        <v>5283</v>
      </c>
    </row>
    <row r="1208" spans="1:13" x14ac:dyDescent="0.25">
      <c r="A1208">
        <v>6422517</v>
      </c>
      <c r="B1208" t="s">
        <v>5284</v>
      </c>
      <c r="C1208" t="str">
        <f>"9783658043230"</f>
        <v>9783658043230</v>
      </c>
      <c r="D1208" t="str">
        <f>"9783658043247"</f>
        <v>9783658043247</v>
      </c>
      <c r="E1208" t="s">
        <v>4472</v>
      </c>
      <c r="F1208" s="1">
        <v>41796</v>
      </c>
      <c r="G1208" t="s">
        <v>5285</v>
      </c>
      <c r="H1208" t="s">
        <v>64</v>
      </c>
      <c r="I1208" t="s">
        <v>5286</v>
      </c>
      <c r="L1208" t="s">
        <v>291</v>
      </c>
      <c r="M1208" t="s">
        <v>5287</v>
      </c>
    </row>
    <row r="1209" spans="1:13" x14ac:dyDescent="0.25">
      <c r="A1209">
        <v>6422518</v>
      </c>
      <c r="B1209" t="s">
        <v>5288</v>
      </c>
      <c r="C1209" t="str">
        <f>"9783658262051"</f>
        <v>9783658262051</v>
      </c>
      <c r="D1209" t="str">
        <f>"9783658262068"</f>
        <v>9783658262068</v>
      </c>
      <c r="E1209" t="s">
        <v>5289</v>
      </c>
      <c r="F1209" s="1">
        <v>43593</v>
      </c>
      <c r="G1209" t="s">
        <v>5290</v>
      </c>
      <c r="H1209" t="s">
        <v>363</v>
      </c>
      <c r="I1209" t="s">
        <v>4529</v>
      </c>
      <c r="L1209" t="s">
        <v>291</v>
      </c>
      <c r="M1209" t="s">
        <v>5291</v>
      </c>
    </row>
    <row r="1210" spans="1:13" x14ac:dyDescent="0.25">
      <c r="A1210">
        <v>6422519</v>
      </c>
      <c r="B1210" t="s">
        <v>5292</v>
      </c>
      <c r="C1210" t="str">
        <f>"9783662594650"</f>
        <v>9783662594650</v>
      </c>
      <c r="D1210" t="str">
        <f>"9783662594667"</f>
        <v>9783662594667</v>
      </c>
      <c r="E1210" t="s">
        <v>4540</v>
      </c>
      <c r="F1210" s="1">
        <v>43770</v>
      </c>
      <c r="G1210" t="s">
        <v>5293</v>
      </c>
      <c r="H1210" t="s">
        <v>64</v>
      </c>
      <c r="I1210" t="s">
        <v>5294</v>
      </c>
      <c r="L1210" t="s">
        <v>291</v>
      </c>
      <c r="M1210" t="s">
        <v>5295</v>
      </c>
    </row>
    <row r="1211" spans="1:13" x14ac:dyDescent="0.25">
      <c r="A1211">
        <v>6422520</v>
      </c>
      <c r="B1211" t="s">
        <v>5296</v>
      </c>
      <c r="C1211" t="str">
        <f>"9783319160054"</f>
        <v>9783319160054</v>
      </c>
      <c r="D1211" t="str">
        <f>"9783319160061"</f>
        <v>9783319160061</v>
      </c>
      <c r="E1211" t="s">
        <v>2905</v>
      </c>
      <c r="F1211" s="1">
        <v>42114</v>
      </c>
      <c r="G1211" t="s">
        <v>5297</v>
      </c>
      <c r="H1211" t="s">
        <v>2528</v>
      </c>
      <c r="I1211" t="s">
        <v>5298</v>
      </c>
      <c r="J1211">
        <v>551.60948499999995</v>
      </c>
      <c r="L1211" t="s">
        <v>20</v>
      </c>
      <c r="M1211" t="s">
        <v>5299</v>
      </c>
    </row>
    <row r="1212" spans="1:13" x14ac:dyDescent="0.25">
      <c r="A1212">
        <v>6422521</v>
      </c>
      <c r="B1212" t="s">
        <v>5300</v>
      </c>
      <c r="C1212" t="str">
        <f>"9783319595184"</f>
        <v>9783319595184</v>
      </c>
      <c r="D1212" t="str">
        <f>"9783319595191"</f>
        <v>9783319595191</v>
      </c>
      <c r="E1212" t="s">
        <v>2905</v>
      </c>
      <c r="F1212" s="1">
        <v>42944</v>
      </c>
      <c r="G1212" t="s">
        <v>5301</v>
      </c>
      <c r="H1212" t="s">
        <v>64</v>
      </c>
      <c r="I1212" t="s">
        <v>4619</v>
      </c>
      <c r="J1212">
        <v>393</v>
      </c>
      <c r="L1212" t="s">
        <v>20</v>
      </c>
      <c r="M1212" t="s">
        <v>5302</v>
      </c>
    </row>
    <row r="1213" spans="1:13" x14ac:dyDescent="0.25">
      <c r="A1213">
        <v>6422522</v>
      </c>
      <c r="B1213" t="s">
        <v>5303</v>
      </c>
      <c r="C1213" t="str">
        <f>"9783642280115"</f>
        <v>9783642280115</v>
      </c>
      <c r="D1213" t="str">
        <f>"9783642280122"</f>
        <v>9783642280122</v>
      </c>
      <c r="E1213" t="s">
        <v>4540</v>
      </c>
      <c r="F1213" s="1">
        <v>41535</v>
      </c>
      <c r="G1213" t="s">
        <v>5304</v>
      </c>
      <c r="H1213" t="s">
        <v>64</v>
      </c>
      <c r="I1213" t="s">
        <v>5305</v>
      </c>
      <c r="L1213" t="s">
        <v>20</v>
      </c>
      <c r="M1213" t="s">
        <v>5306</v>
      </c>
    </row>
    <row r="1214" spans="1:13" x14ac:dyDescent="0.25">
      <c r="A1214">
        <v>6422523</v>
      </c>
      <c r="B1214" t="s">
        <v>5307</v>
      </c>
      <c r="C1214" t="str">
        <f>"9784431558477"</f>
        <v>9784431558477</v>
      </c>
      <c r="D1214" t="str">
        <f>"9784431558484"</f>
        <v>9784431558484</v>
      </c>
      <c r="E1214" t="s">
        <v>4510</v>
      </c>
      <c r="F1214" s="1">
        <v>42388</v>
      </c>
      <c r="G1214" t="s">
        <v>5308</v>
      </c>
      <c r="H1214" t="s">
        <v>5309</v>
      </c>
      <c r="I1214" t="s">
        <v>5310</v>
      </c>
      <c r="J1214">
        <v>363.17994095211702</v>
      </c>
      <c r="L1214" t="s">
        <v>20</v>
      </c>
      <c r="M1214" t="s">
        <v>5311</v>
      </c>
    </row>
    <row r="1215" spans="1:13" x14ac:dyDescent="0.25">
      <c r="A1215">
        <v>6422524</v>
      </c>
      <c r="B1215" t="s">
        <v>5312</v>
      </c>
      <c r="C1215" t="str">
        <f>"9783319123035"</f>
        <v>9783319123035</v>
      </c>
      <c r="D1215" t="str">
        <f>"9783319123042"</f>
        <v>9783319123042</v>
      </c>
      <c r="E1215" t="s">
        <v>2905</v>
      </c>
      <c r="F1215" s="1">
        <v>41976</v>
      </c>
      <c r="G1215" t="s">
        <v>5313</v>
      </c>
      <c r="H1215" t="s">
        <v>5314</v>
      </c>
      <c r="I1215" t="s">
        <v>5315</v>
      </c>
      <c r="L1215" t="s">
        <v>20</v>
      </c>
      <c r="M1215" t="s">
        <v>5316</v>
      </c>
    </row>
    <row r="1216" spans="1:13" x14ac:dyDescent="0.25">
      <c r="A1216">
        <v>6422525</v>
      </c>
      <c r="B1216" t="s">
        <v>5317</v>
      </c>
      <c r="C1216" t="str">
        <f>"9781430261452"</f>
        <v>9781430261452</v>
      </c>
      <c r="D1216" t="str">
        <f>"9781430261469"</f>
        <v>9781430261469</v>
      </c>
      <c r="E1216" t="s">
        <v>5036</v>
      </c>
      <c r="F1216" s="1">
        <v>41729</v>
      </c>
      <c r="G1216" t="s">
        <v>5318</v>
      </c>
      <c r="H1216" t="s">
        <v>712</v>
      </c>
      <c r="I1216" t="s">
        <v>4553</v>
      </c>
      <c r="L1216" t="s">
        <v>20</v>
      </c>
      <c r="M1216" t="s">
        <v>5319</v>
      </c>
    </row>
    <row r="1217" spans="1:13" x14ac:dyDescent="0.25">
      <c r="A1217">
        <v>6422526</v>
      </c>
      <c r="B1217" t="s">
        <v>5320</v>
      </c>
      <c r="C1217" t="str">
        <f>"9783662557068"</f>
        <v>9783662557068</v>
      </c>
      <c r="D1217" t="str">
        <f>"9783662557075"</f>
        <v>9783662557075</v>
      </c>
      <c r="E1217" t="s">
        <v>4540</v>
      </c>
      <c r="F1217" s="1">
        <v>43227</v>
      </c>
      <c r="G1217" t="s">
        <v>5321</v>
      </c>
      <c r="H1217" t="s">
        <v>1753</v>
      </c>
      <c r="I1217" t="s">
        <v>4474</v>
      </c>
      <c r="L1217" t="s">
        <v>291</v>
      </c>
      <c r="M1217" t="s">
        <v>5322</v>
      </c>
    </row>
    <row r="1218" spans="1:13" x14ac:dyDescent="0.25">
      <c r="A1218">
        <v>6422527</v>
      </c>
      <c r="B1218" t="s">
        <v>5323</v>
      </c>
      <c r="C1218" t="str">
        <f>"9783658144135"</f>
        <v>9783658144135</v>
      </c>
      <c r="D1218" t="str">
        <f>"9783658144142"</f>
        <v>9783658144142</v>
      </c>
      <c r="E1218" t="s">
        <v>4472</v>
      </c>
      <c r="F1218" s="1">
        <v>42690</v>
      </c>
      <c r="G1218" t="s">
        <v>5324</v>
      </c>
      <c r="H1218" t="s">
        <v>64</v>
      </c>
      <c r="I1218" t="s">
        <v>2908</v>
      </c>
      <c r="L1218" t="s">
        <v>291</v>
      </c>
      <c r="M1218" t="s">
        <v>5325</v>
      </c>
    </row>
    <row r="1219" spans="1:13" x14ac:dyDescent="0.25">
      <c r="A1219">
        <v>6422528</v>
      </c>
      <c r="B1219" t="s">
        <v>5326</v>
      </c>
      <c r="C1219" t="str">
        <f>"9783662557044"</f>
        <v>9783662557044</v>
      </c>
      <c r="D1219" t="str">
        <f>"9783662557051"</f>
        <v>9783662557051</v>
      </c>
      <c r="E1219" t="s">
        <v>4540</v>
      </c>
      <c r="F1219" s="1">
        <v>43216</v>
      </c>
      <c r="G1219" t="s">
        <v>5321</v>
      </c>
      <c r="H1219" t="s">
        <v>1753</v>
      </c>
      <c r="I1219" t="s">
        <v>5327</v>
      </c>
      <c r="L1219" t="s">
        <v>291</v>
      </c>
      <c r="M1219" t="s">
        <v>5328</v>
      </c>
    </row>
    <row r="1220" spans="1:13" x14ac:dyDescent="0.25">
      <c r="A1220">
        <v>6422529</v>
      </c>
      <c r="B1220" t="s">
        <v>5329</v>
      </c>
      <c r="C1220" t="str">
        <f>"9783319635903"</f>
        <v>9783319635903</v>
      </c>
      <c r="D1220" t="str">
        <f>"9783319635910"</f>
        <v>9783319635910</v>
      </c>
      <c r="E1220" t="s">
        <v>2905</v>
      </c>
      <c r="F1220" s="1">
        <v>43264</v>
      </c>
      <c r="G1220" t="s">
        <v>5330</v>
      </c>
      <c r="H1220" t="s">
        <v>453</v>
      </c>
      <c r="I1220" t="s">
        <v>4632</v>
      </c>
      <c r="J1220">
        <v>341.24220960000002</v>
      </c>
      <c r="L1220" t="s">
        <v>20</v>
      </c>
      <c r="M1220" t="s">
        <v>5331</v>
      </c>
    </row>
    <row r="1221" spans="1:13" x14ac:dyDescent="0.25">
      <c r="A1221">
        <v>6422530</v>
      </c>
      <c r="B1221" t="s">
        <v>5332</v>
      </c>
      <c r="C1221" t="str">
        <f>""</f>
        <v/>
      </c>
      <c r="D1221" t="str">
        <f>"9788132220145"</f>
        <v>9788132220145</v>
      </c>
      <c r="E1221" t="s">
        <v>5333</v>
      </c>
      <c r="F1221" s="1">
        <v>41976</v>
      </c>
      <c r="G1221" t="s">
        <v>5334</v>
      </c>
      <c r="H1221" t="s">
        <v>64</v>
      </c>
      <c r="I1221" t="s">
        <v>4653</v>
      </c>
      <c r="L1221" t="s">
        <v>20</v>
      </c>
      <c r="M1221" t="s">
        <v>5335</v>
      </c>
    </row>
    <row r="1222" spans="1:13" x14ac:dyDescent="0.25">
      <c r="A1222">
        <v>6422531</v>
      </c>
      <c r="B1222" t="s">
        <v>5336</v>
      </c>
      <c r="C1222" t="str">
        <f>"9789400775954"</f>
        <v>9789400775954</v>
      </c>
      <c r="D1222" t="str">
        <f>"9789400775961"</f>
        <v>9789400775961</v>
      </c>
      <c r="E1222" t="s">
        <v>4612</v>
      </c>
      <c r="F1222" s="1">
        <v>41617</v>
      </c>
      <c r="G1222" t="s">
        <v>5337</v>
      </c>
      <c r="H1222" t="s">
        <v>2652</v>
      </c>
      <c r="I1222" t="s">
        <v>5338</v>
      </c>
      <c r="J1222">
        <v>362.1</v>
      </c>
      <c r="L1222" t="s">
        <v>20</v>
      </c>
      <c r="M1222" t="s">
        <v>5339</v>
      </c>
    </row>
    <row r="1223" spans="1:13" x14ac:dyDescent="0.25">
      <c r="A1223">
        <v>6422532</v>
      </c>
      <c r="B1223" t="s">
        <v>5340</v>
      </c>
      <c r="C1223" t="str">
        <f>"9784431548645"</f>
        <v>9784431548645</v>
      </c>
      <c r="D1223" t="str">
        <f>"9784431548652"</f>
        <v>9784431548652</v>
      </c>
      <c r="E1223" t="s">
        <v>4510</v>
      </c>
      <c r="F1223" s="1">
        <v>42033</v>
      </c>
      <c r="G1223" t="s">
        <v>5341</v>
      </c>
      <c r="H1223" t="s">
        <v>3355</v>
      </c>
      <c r="I1223" t="s">
        <v>5298</v>
      </c>
      <c r="L1223" t="s">
        <v>20</v>
      </c>
      <c r="M1223" t="s">
        <v>5342</v>
      </c>
    </row>
    <row r="1224" spans="1:13" x14ac:dyDescent="0.25">
      <c r="A1224">
        <v>6422533</v>
      </c>
      <c r="B1224" t="s">
        <v>5343</v>
      </c>
      <c r="C1224" t="str">
        <f>"9783319459752"</f>
        <v>9783319459752</v>
      </c>
      <c r="D1224" t="str">
        <f>"9783319459776"</f>
        <v>9783319459776</v>
      </c>
      <c r="E1224" t="s">
        <v>2905</v>
      </c>
      <c r="F1224" s="1">
        <v>43005</v>
      </c>
      <c r="G1224" t="s">
        <v>5344</v>
      </c>
      <c r="H1224" t="s">
        <v>1251</v>
      </c>
      <c r="I1224" t="s">
        <v>5345</v>
      </c>
      <c r="J1224">
        <v>401.9</v>
      </c>
      <c r="L1224" t="s">
        <v>20</v>
      </c>
      <c r="M1224" t="s">
        <v>5346</v>
      </c>
    </row>
    <row r="1225" spans="1:13" x14ac:dyDescent="0.25">
      <c r="A1225">
        <v>6422534</v>
      </c>
      <c r="B1225" t="s">
        <v>5347</v>
      </c>
      <c r="C1225" t="str">
        <f>"9783030499693"</f>
        <v>9783030499693</v>
      </c>
      <c r="D1225" t="str">
        <f>"9783030499709"</f>
        <v>9783030499709</v>
      </c>
      <c r="E1225" t="s">
        <v>2905</v>
      </c>
      <c r="F1225" s="1">
        <v>44175</v>
      </c>
      <c r="G1225" t="s">
        <v>5348</v>
      </c>
      <c r="H1225" t="s">
        <v>1753</v>
      </c>
      <c r="I1225" t="s">
        <v>4609</v>
      </c>
      <c r="L1225" t="s">
        <v>20</v>
      </c>
      <c r="M1225" t="s">
        <v>5349</v>
      </c>
    </row>
    <row r="1226" spans="1:13" x14ac:dyDescent="0.25">
      <c r="A1226">
        <v>6422535</v>
      </c>
      <c r="B1226" t="s">
        <v>5350</v>
      </c>
      <c r="C1226" t="str">
        <f>"9783319137544"</f>
        <v>9783319137544</v>
      </c>
      <c r="D1226" t="str">
        <f>"9783319137551"</f>
        <v>9783319137551</v>
      </c>
      <c r="E1226" t="s">
        <v>2905</v>
      </c>
      <c r="F1226" s="1">
        <v>42132</v>
      </c>
      <c r="G1226" t="s">
        <v>5351</v>
      </c>
      <c r="H1226" t="s">
        <v>1160</v>
      </c>
      <c r="I1226" t="s">
        <v>4549</v>
      </c>
      <c r="J1226">
        <v>579.20000000000005</v>
      </c>
      <c r="L1226" t="s">
        <v>20</v>
      </c>
      <c r="M1226" t="s">
        <v>5352</v>
      </c>
    </row>
    <row r="1227" spans="1:13" x14ac:dyDescent="0.25">
      <c r="A1227">
        <v>6422536</v>
      </c>
      <c r="B1227" t="s">
        <v>5353</v>
      </c>
      <c r="C1227" t="str">
        <f>"9783319286235"</f>
        <v>9783319286235</v>
      </c>
      <c r="D1227" t="str">
        <f>"9783319286242"</f>
        <v>9783319286242</v>
      </c>
      <c r="E1227" t="s">
        <v>2905</v>
      </c>
      <c r="F1227" s="1">
        <v>42450</v>
      </c>
      <c r="G1227" t="s">
        <v>5354</v>
      </c>
      <c r="H1227" t="s">
        <v>266</v>
      </c>
      <c r="I1227" t="s">
        <v>4699</v>
      </c>
      <c r="J1227">
        <v>616.07574999999997</v>
      </c>
      <c r="L1227" t="s">
        <v>20</v>
      </c>
      <c r="M1227" t="s">
        <v>5355</v>
      </c>
    </row>
    <row r="1228" spans="1:13" x14ac:dyDescent="0.25">
      <c r="A1228">
        <v>6422537</v>
      </c>
      <c r="B1228" t="s">
        <v>5356</v>
      </c>
      <c r="C1228" t="str">
        <f>"9789811312137"</f>
        <v>9789811312137</v>
      </c>
      <c r="D1228" t="str">
        <f>"9789811312144"</f>
        <v>9789811312144</v>
      </c>
      <c r="E1228" t="s">
        <v>4099</v>
      </c>
      <c r="F1228" s="1">
        <v>43399</v>
      </c>
      <c r="G1228" t="s">
        <v>5357</v>
      </c>
      <c r="H1228" t="s">
        <v>1283</v>
      </c>
      <c r="I1228" t="s">
        <v>5358</v>
      </c>
      <c r="L1228" t="s">
        <v>20</v>
      </c>
      <c r="M1228" t="s">
        <v>5359</v>
      </c>
    </row>
    <row r="1229" spans="1:13" x14ac:dyDescent="0.25">
      <c r="A1229">
        <v>6422538</v>
      </c>
      <c r="B1229" t="s">
        <v>5360</v>
      </c>
      <c r="C1229" t="str">
        <f>"9783319038193"</f>
        <v>9783319038193</v>
      </c>
      <c r="D1229" t="str">
        <f>"9783319038209"</f>
        <v>9783319038209</v>
      </c>
      <c r="E1229" t="s">
        <v>2905</v>
      </c>
      <c r="F1229" s="1">
        <v>42212</v>
      </c>
      <c r="G1229" t="s">
        <v>5361</v>
      </c>
      <c r="H1229" t="s">
        <v>239</v>
      </c>
      <c r="I1229" t="s">
        <v>5362</v>
      </c>
      <c r="L1229" t="s">
        <v>20</v>
      </c>
      <c r="M1229" t="s">
        <v>5363</v>
      </c>
    </row>
    <row r="1230" spans="1:13" x14ac:dyDescent="0.25">
      <c r="A1230">
        <v>6422539</v>
      </c>
      <c r="B1230" t="s">
        <v>5364</v>
      </c>
      <c r="C1230" t="str">
        <f>"9783319511573"</f>
        <v>9783319511573</v>
      </c>
      <c r="D1230" t="str">
        <f>"9783319511597"</f>
        <v>9783319511597</v>
      </c>
      <c r="E1230" t="s">
        <v>2905</v>
      </c>
      <c r="F1230" s="1">
        <v>42867</v>
      </c>
      <c r="G1230" t="s">
        <v>5365</v>
      </c>
      <c r="H1230" t="s">
        <v>5366</v>
      </c>
      <c r="I1230" t="s">
        <v>5367</v>
      </c>
      <c r="J1230">
        <v>639.89</v>
      </c>
      <c r="L1230" t="s">
        <v>20</v>
      </c>
      <c r="M1230" t="s">
        <v>5368</v>
      </c>
    </row>
    <row r="1231" spans="1:13" x14ac:dyDescent="0.25">
      <c r="A1231">
        <v>6422540</v>
      </c>
      <c r="B1231" t="s">
        <v>5369</v>
      </c>
      <c r="C1231" t="str">
        <f>"9784431555575"</f>
        <v>9784431555575</v>
      </c>
      <c r="D1231" t="str">
        <f>"9784431555582"</f>
        <v>9784431555582</v>
      </c>
      <c r="E1231" t="s">
        <v>4510</v>
      </c>
      <c r="F1231" s="1">
        <v>42241</v>
      </c>
      <c r="G1231" t="s">
        <v>5370</v>
      </c>
      <c r="H1231" t="s">
        <v>5371</v>
      </c>
      <c r="I1231" t="s">
        <v>4615</v>
      </c>
      <c r="J1231">
        <v>634.90952000000004</v>
      </c>
      <c r="L1231" t="s">
        <v>20</v>
      </c>
      <c r="M1231" t="s">
        <v>5372</v>
      </c>
    </row>
    <row r="1232" spans="1:13" x14ac:dyDescent="0.25">
      <c r="A1232">
        <v>6422541</v>
      </c>
      <c r="B1232" t="s">
        <v>5373</v>
      </c>
      <c r="C1232" t="str">
        <f>"9783642280085"</f>
        <v>9783642280085</v>
      </c>
      <c r="D1232" t="str">
        <f>"9783642280092"</f>
        <v>9783642280092</v>
      </c>
      <c r="E1232" t="s">
        <v>4540</v>
      </c>
      <c r="F1232" s="1">
        <v>41167</v>
      </c>
      <c r="G1232" t="s">
        <v>5374</v>
      </c>
      <c r="H1232" t="s">
        <v>5375</v>
      </c>
      <c r="I1232" t="s">
        <v>4807</v>
      </c>
      <c r="J1232">
        <v>338.92700000000002</v>
      </c>
      <c r="L1232" t="s">
        <v>20</v>
      </c>
      <c r="M1232" t="s">
        <v>5376</v>
      </c>
    </row>
    <row r="1233" spans="1:13" x14ac:dyDescent="0.25">
      <c r="A1233">
        <v>6422542</v>
      </c>
      <c r="B1233" t="s">
        <v>5377</v>
      </c>
      <c r="C1233" t="str">
        <f>"9781430263821"</f>
        <v>9781430263821</v>
      </c>
      <c r="D1233" t="str">
        <f>"9781430263838"</f>
        <v>9781430263838</v>
      </c>
      <c r="E1233" t="s">
        <v>5036</v>
      </c>
      <c r="F1233" s="1">
        <v>41881</v>
      </c>
      <c r="G1233" t="s">
        <v>5378</v>
      </c>
      <c r="H1233" t="s">
        <v>712</v>
      </c>
      <c r="I1233" t="s">
        <v>5272</v>
      </c>
      <c r="L1233" t="s">
        <v>20</v>
      </c>
      <c r="M1233" t="s">
        <v>5379</v>
      </c>
    </row>
    <row r="1234" spans="1:13" x14ac:dyDescent="0.25">
      <c r="A1234">
        <v>6422543</v>
      </c>
      <c r="B1234" t="s">
        <v>5380</v>
      </c>
      <c r="C1234" t="str">
        <f>"9783658093761"</f>
        <v>9783658093761</v>
      </c>
      <c r="D1234" t="str">
        <f>"9783658093778"</f>
        <v>9783658093778</v>
      </c>
      <c r="E1234" t="s">
        <v>4472</v>
      </c>
      <c r="F1234" s="1">
        <v>42706</v>
      </c>
      <c r="G1234" t="s">
        <v>5381</v>
      </c>
      <c r="H1234" t="s">
        <v>1753</v>
      </c>
      <c r="I1234" t="s">
        <v>5382</v>
      </c>
      <c r="L1234" t="s">
        <v>291</v>
      </c>
      <c r="M1234" t="s">
        <v>5383</v>
      </c>
    </row>
    <row r="1235" spans="1:13" x14ac:dyDescent="0.25">
      <c r="A1235">
        <v>6422546</v>
      </c>
      <c r="B1235" t="s">
        <v>5384</v>
      </c>
      <c r="C1235" t="str">
        <f>"9783319442716"</f>
        <v>9783319442716</v>
      </c>
      <c r="D1235" t="str">
        <f>"9783319442723"</f>
        <v>9783319442723</v>
      </c>
      <c r="E1235" t="s">
        <v>2905</v>
      </c>
      <c r="F1235" s="1">
        <v>42632</v>
      </c>
      <c r="G1235" t="s">
        <v>5385</v>
      </c>
      <c r="H1235" t="s">
        <v>1178</v>
      </c>
      <c r="I1235" t="s">
        <v>4084</v>
      </c>
      <c r="J1235">
        <v>516</v>
      </c>
      <c r="L1235" t="s">
        <v>20</v>
      </c>
      <c r="M1235" t="s">
        <v>5386</v>
      </c>
    </row>
    <row r="1236" spans="1:13" x14ac:dyDescent="0.25">
      <c r="A1236">
        <v>6422548</v>
      </c>
      <c r="B1236" t="s">
        <v>5387</v>
      </c>
      <c r="C1236" t="str">
        <f>"9783319045993"</f>
        <v>9783319045993</v>
      </c>
      <c r="D1236" t="str">
        <f>"9783319046006"</f>
        <v>9783319046006</v>
      </c>
      <c r="E1236" t="s">
        <v>2905</v>
      </c>
      <c r="F1236" s="1">
        <v>42633</v>
      </c>
      <c r="G1236" t="s">
        <v>5388</v>
      </c>
      <c r="H1236" t="s">
        <v>3219</v>
      </c>
      <c r="I1236" t="s">
        <v>5389</v>
      </c>
      <c r="J1236">
        <v>616.89</v>
      </c>
      <c r="L1236" t="s">
        <v>20</v>
      </c>
      <c r="M1236" t="s">
        <v>5390</v>
      </c>
    </row>
    <row r="1237" spans="1:13" x14ac:dyDescent="0.25">
      <c r="A1237">
        <v>6422549</v>
      </c>
      <c r="B1237" t="s">
        <v>5391</v>
      </c>
      <c r="C1237" t="str">
        <f>"9783319909530"</f>
        <v>9783319909530</v>
      </c>
      <c r="D1237" t="str">
        <f>"9783319909554"</f>
        <v>9783319909554</v>
      </c>
      <c r="E1237" t="s">
        <v>2905</v>
      </c>
      <c r="F1237" s="1">
        <v>43367</v>
      </c>
      <c r="G1237" t="s">
        <v>5392</v>
      </c>
      <c r="H1237" t="s">
        <v>16</v>
      </c>
      <c r="I1237" t="s">
        <v>4820</v>
      </c>
      <c r="L1237" t="s">
        <v>20</v>
      </c>
      <c r="M1237" t="s">
        <v>5393</v>
      </c>
    </row>
    <row r="1238" spans="1:13" x14ac:dyDescent="0.25">
      <c r="A1238">
        <v>6422550</v>
      </c>
      <c r="B1238" t="s">
        <v>5394</v>
      </c>
      <c r="C1238" t="str">
        <f>"9789811040702"</f>
        <v>9789811040702</v>
      </c>
      <c r="D1238" t="str">
        <f>"9789811040719"</f>
        <v>9789811040719</v>
      </c>
      <c r="E1238" t="s">
        <v>4099</v>
      </c>
      <c r="F1238" s="1">
        <v>42909</v>
      </c>
      <c r="G1238" t="s">
        <v>5395</v>
      </c>
      <c r="H1238" t="s">
        <v>3047</v>
      </c>
      <c r="I1238" t="s">
        <v>5396</v>
      </c>
      <c r="J1238">
        <v>297</v>
      </c>
      <c r="L1238" t="s">
        <v>20</v>
      </c>
      <c r="M1238" t="s">
        <v>5397</v>
      </c>
    </row>
    <row r="1239" spans="1:13" x14ac:dyDescent="0.25">
      <c r="A1239">
        <v>6422551</v>
      </c>
      <c r="B1239" t="s">
        <v>5398</v>
      </c>
      <c r="C1239" t="str">
        <f>"9783030526887"</f>
        <v>9783030526887</v>
      </c>
      <c r="D1239" t="str">
        <f>"9783030526894"</f>
        <v>9783030526894</v>
      </c>
      <c r="E1239" t="s">
        <v>2905</v>
      </c>
      <c r="F1239" s="1">
        <v>44175</v>
      </c>
      <c r="G1239" t="s">
        <v>5399</v>
      </c>
      <c r="H1239" t="s">
        <v>30</v>
      </c>
      <c r="I1239" t="s">
        <v>4676</v>
      </c>
      <c r="L1239" t="s">
        <v>20</v>
      </c>
      <c r="M1239" t="s">
        <v>5400</v>
      </c>
    </row>
    <row r="1240" spans="1:13" x14ac:dyDescent="0.25">
      <c r="A1240">
        <v>6422552</v>
      </c>
      <c r="B1240" t="s">
        <v>5401</v>
      </c>
      <c r="C1240" t="str">
        <f>"9783030548940"</f>
        <v>9783030548940</v>
      </c>
      <c r="D1240" t="str">
        <f>"9783030548957"</f>
        <v>9783030548957</v>
      </c>
      <c r="E1240" t="s">
        <v>2905</v>
      </c>
      <c r="F1240" s="1">
        <v>44175</v>
      </c>
      <c r="G1240" t="s">
        <v>5402</v>
      </c>
      <c r="H1240" t="s">
        <v>1753</v>
      </c>
      <c r="I1240" t="s">
        <v>5403</v>
      </c>
      <c r="L1240" t="s">
        <v>20</v>
      </c>
      <c r="M1240" t="s">
        <v>5404</v>
      </c>
    </row>
    <row r="1241" spans="1:13" x14ac:dyDescent="0.25">
      <c r="A1241">
        <v>6422553</v>
      </c>
      <c r="B1241" t="s">
        <v>5405</v>
      </c>
      <c r="C1241" t="str">
        <f>"9781430266372"</f>
        <v>9781430266372</v>
      </c>
      <c r="D1241" t="str">
        <f>"9781430266389"</f>
        <v>9781430266389</v>
      </c>
      <c r="E1241" t="s">
        <v>5036</v>
      </c>
      <c r="F1241" s="1">
        <v>42091</v>
      </c>
      <c r="G1241" t="s">
        <v>5406</v>
      </c>
      <c r="H1241" t="s">
        <v>1753</v>
      </c>
      <c r="I1241" t="s">
        <v>5407</v>
      </c>
      <c r="L1241" t="s">
        <v>20</v>
      </c>
      <c r="M1241" t="s">
        <v>5408</v>
      </c>
    </row>
    <row r="1242" spans="1:13" x14ac:dyDescent="0.25">
      <c r="A1242">
        <v>6422554</v>
      </c>
      <c r="B1242" t="s">
        <v>5409</v>
      </c>
      <c r="C1242" t="str">
        <f>"9783642546778"</f>
        <v>9783642546778</v>
      </c>
      <c r="D1242" t="str">
        <f>"9783642546785"</f>
        <v>9783642546785</v>
      </c>
      <c r="E1242" t="s">
        <v>4540</v>
      </c>
      <c r="F1242" s="1">
        <v>41844</v>
      </c>
      <c r="G1242" t="s">
        <v>5410</v>
      </c>
      <c r="H1242" t="s">
        <v>1753</v>
      </c>
      <c r="I1242" t="s">
        <v>3731</v>
      </c>
      <c r="L1242" t="s">
        <v>20</v>
      </c>
      <c r="M1242" t="s">
        <v>5411</v>
      </c>
    </row>
    <row r="1243" spans="1:13" x14ac:dyDescent="0.25">
      <c r="A1243">
        <v>6422555</v>
      </c>
      <c r="B1243" t="s">
        <v>5412</v>
      </c>
      <c r="C1243" t="str">
        <f>"9783319510422"</f>
        <v>9783319510422</v>
      </c>
      <c r="D1243" t="str">
        <f>"9783319510439"</f>
        <v>9783319510439</v>
      </c>
      <c r="E1243" t="s">
        <v>2905</v>
      </c>
      <c r="F1243" s="1">
        <v>42783</v>
      </c>
      <c r="G1243" t="s">
        <v>5413</v>
      </c>
      <c r="H1243" t="s">
        <v>4915</v>
      </c>
      <c r="I1243" t="s">
        <v>5414</v>
      </c>
      <c r="L1243" t="s">
        <v>20</v>
      </c>
      <c r="M1243" t="s">
        <v>5415</v>
      </c>
    </row>
    <row r="1244" spans="1:13" x14ac:dyDescent="0.25">
      <c r="A1244">
        <v>6422556</v>
      </c>
      <c r="B1244" t="s">
        <v>5416</v>
      </c>
      <c r="C1244" t="str">
        <f>"9783662488454"</f>
        <v>9783662488454</v>
      </c>
      <c r="D1244" t="str">
        <f>"9783662488478"</f>
        <v>9783662488478</v>
      </c>
      <c r="E1244" t="s">
        <v>4540</v>
      </c>
      <c r="F1244" s="1">
        <v>42521</v>
      </c>
      <c r="G1244" t="s">
        <v>5417</v>
      </c>
      <c r="H1244" t="s">
        <v>5418</v>
      </c>
      <c r="I1244" t="s">
        <v>5419</v>
      </c>
      <c r="J1244">
        <v>629.27200000000005</v>
      </c>
      <c r="L1244" t="s">
        <v>20</v>
      </c>
      <c r="M1244" t="s">
        <v>5420</v>
      </c>
    </row>
    <row r="1245" spans="1:13" x14ac:dyDescent="0.25">
      <c r="A1245">
        <v>6422558</v>
      </c>
      <c r="B1245" t="s">
        <v>5421</v>
      </c>
      <c r="C1245" t="str">
        <f>"9783319281100"</f>
        <v>9783319281100</v>
      </c>
      <c r="D1245" t="str">
        <f>"9783319281124"</f>
        <v>9783319281124</v>
      </c>
      <c r="E1245" t="s">
        <v>2905</v>
      </c>
      <c r="F1245" s="1">
        <v>42620</v>
      </c>
      <c r="G1245" t="s">
        <v>5422</v>
      </c>
      <c r="H1245" t="s">
        <v>64</v>
      </c>
      <c r="I1245" t="s">
        <v>4239</v>
      </c>
      <c r="J1245">
        <v>307.76</v>
      </c>
      <c r="L1245" t="s">
        <v>20</v>
      </c>
      <c r="M1245" t="s">
        <v>5423</v>
      </c>
    </row>
    <row r="1246" spans="1:13" x14ac:dyDescent="0.25">
      <c r="A1246">
        <v>6422559</v>
      </c>
      <c r="B1246" t="s">
        <v>5424</v>
      </c>
      <c r="C1246" t="str">
        <f>"9783642380815"</f>
        <v>9783642380815</v>
      </c>
      <c r="D1246" t="str">
        <f>"9783642380822"</f>
        <v>9783642380822</v>
      </c>
      <c r="E1246" t="s">
        <v>4540</v>
      </c>
      <c r="F1246" s="1">
        <v>41383</v>
      </c>
      <c r="G1246" t="s">
        <v>5425</v>
      </c>
      <c r="H1246" t="s">
        <v>712</v>
      </c>
      <c r="I1246" t="s">
        <v>5426</v>
      </c>
      <c r="L1246" t="s">
        <v>20</v>
      </c>
      <c r="M1246" t="s">
        <v>5427</v>
      </c>
    </row>
    <row r="1247" spans="1:13" x14ac:dyDescent="0.25">
      <c r="A1247">
        <v>6422560</v>
      </c>
      <c r="B1247" t="s">
        <v>5428</v>
      </c>
      <c r="C1247" t="str">
        <f>"9781430267126"</f>
        <v>9781430267126</v>
      </c>
      <c r="D1247" t="str">
        <f>"9781430267133"</f>
        <v>9781430267133</v>
      </c>
      <c r="E1247" t="s">
        <v>5036</v>
      </c>
      <c r="F1247" s="1">
        <v>41948</v>
      </c>
      <c r="G1247" t="s">
        <v>5429</v>
      </c>
      <c r="H1247" t="s">
        <v>5430</v>
      </c>
      <c r="I1247" t="s">
        <v>5431</v>
      </c>
      <c r="L1247" t="s">
        <v>20</v>
      </c>
      <c r="M1247" t="s">
        <v>5432</v>
      </c>
    </row>
    <row r="1248" spans="1:13" x14ac:dyDescent="0.25">
      <c r="A1248">
        <v>6422561</v>
      </c>
      <c r="B1248" t="s">
        <v>5433</v>
      </c>
      <c r="C1248" t="str">
        <f>"9783319333489"</f>
        <v>9783319333489</v>
      </c>
      <c r="D1248" t="str">
        <f>"9783319333496"</f>
        <v>9783319333496</v>
      </c>
      <c r="E1248" t="s">
        <v>2905</v>
      </c>
      <c r="F1248" s="1">
        <v>42705</v>
      </c>
      <c r="G1248" t="s">
        <v>5434</v>
      </c>
      <c r="H1248" t="s">
        <v>5435</v>
      </c>
      <c r="I1248" t="s">
        <v>5436</v>
      </c>
      <c r="J1248">
        <v>363.73926094000001</v>
      </c>
      <c r="L1248" t="s">
        <v>20</v>
      </c>
      <c r="M1248" t="s">
        <v>5437</v>
      </c>
    </row>
    <row r="1249" spans="1:13" x14ac:dyDescent="0.25">
      <c r="A1249">
        <v>6422562</v>
      </c>
      <c r="B1249" t="s">
        <v>5438</v>
      </c>
      <c r="C1249" t="str">
        <f>"9783662559178"</f>
        <v>9783662559178</v>
      </c>
      <c r="D1249" t="str">
        <f>"9783662559185"</f>
        <v>9783662559185</v>
      </c>
      <c r="E1249" t="s">
        <v>4540</v>
      </c>
      <c r="F1249" s="1">
        <v>43049</v>
      </c>
      <c r="G1249" t="s">
        <v>5439</v>
      </c>
      <c r="H1249" t="s">
        <v>266</v>
      </c>
      <c r="I1249" t="s">
        <v>5440</v>
      </c>
      <c r="L1249" t="s">
        <v>20</v>
      </c>
      <c r="M1249" t="s">
        <v>5441</v>
      </c>
    </row>
    <row r="1250" spans="1:13" x14ac:dyDescent="0.25">
      <c r="A1250">
        <v>6422563</v>
      </c>
      <c r="B1250" t="s">
        <v>5442</v>
      </c>
      <c r="C1250" t="str">
        <f>"9783319329741"</f>
        <v>9783319329741</v>
      </c>
      <c r="D1250" t="str">
        <f>"9783319329758"</f>
        <v>9783319329758</v>
      </c>
      <c r="E1250" t="s">
        <v>2905</v>
      </c>
      <c r="F1250" s="1">
        <v>42543</v>
      </c>
      <c r="G1250" t="s">
        <v>5443</v>
      </c>
      <c r="H1250" t="s">
        <v>1178</v>
      </c>
      <c r="I1250" t="s">
        <v>4084</v>
      </c>
      <c r="L1250" t="s">
        <v>20</v>
      </c>
      <c r="M1250" t="s">
        <v>5444</v>
      </c>
    </row>
    <row r="1251" spans="1:13" x14ac:dyDescent="0.25">
      <c r="A1251">
        <v>6422564</v>
      </c>
      <c r="B1251" t="s">
        <v>5445</v>
      </c>
      <c r="C1251" t="str">
        <f>"9783319512730"</f>
        <v>9783319512730</v>
      </c>
      <c r="D1251" t="str">
        <f>"9783319512747"</f>
        <v>9783319512747</v>
      </c>
      <c r="E1251" t="s">
        <v>2905</v>
      </c>
      <c r="F1251" s="1">
        <v>42832</v>
      </c>
      <c r="G1251" t="s">
        <v>5446</v>
      </c>
      <c r="H1251" t="s">
        <v>239</v>
      </c>
      <c r="I1251" t="s">
        <v>5210</v>
      </c>
      <c r="J1251">
        <v>341.45</v>
      </c>
      <c r="L1251" t="s">
        <v>20</v>
      </c>
      <c r="M1251" t="s">
        <v>5447</v>
      </c>
    </row>
    <row r="1252" spans="1:13" x14ac:dyDescent="0.25">
      <c r="A1252">
        <v>6422565</v>
      </c>
      <c r="B1252" t="s">
        <v>5448</v>
      </c>
      <c r="C1252" t="str">
        <f>"9783319204833"</f>
        <v>9783319204833</v>
      </c>
      <c r="D1252" t="str">
        <f>"9783319204840"</f>
        <v>9783319204840</v>
      </c>
      <c r="E1252" t="s">
        <v>2905</v>
      </c>
      <c r="F1252" s="1">
        <v>42236</v>
      </c>
      <c r="G1252" t="s">
        <v>5449</v>
      </c>
      <c r="H1252" t="s">
        <v>2597</v>
      </c>
      <c r="I1252" t="s">
        <v>4560</v>
      </c>
      <c r="J1252">
        <v>613</v>
      </c>
      <c r="L1252" t="s">
        <v>20</v>
      </c>
      <c r="M1252" t="s">
        <v>5450</v>
      </c>
    </row>
    <row r="1253" spans="1:13" x14ac:dyDescent="0.25">
      <c r="A1253">
        <v>6422566</v>
      </c>
      <c r="B1253" t="s">
        <v>5451</v>
      </c>
      <c r="C1253" t="str">
        <f>"9783319460307"</f>
        <v>9783319460307</v>
      </c>
      <c r="D1253" t="str">
        <f>"9783319460314"</f>
        <v>9783319460314</v>
      </c>
      <c r="E1253" t="s">
        <v>2905</v>
      </c>
      <c r="F1253" s="1">
        <v>42737</v>
      </c>
      <c r="G1253" t="s">
        <v>5452</v>
      </c>
      <c r="H1253" t="s">
        <v>5453</v>
      </c>
      <c r="I1253" t="s">
        <v>5454</v>
      </c>
      <c r="L1253" t="s">
        <v>20</v>
      </c>
      <c r="M1253" t="s">
        <v>5455</v>
      </c>
    </row>
    <row r="1254" spans="1:13" x14ac:dyDescent="0.25">
      <c r="A1254">
        <v>6422567</v>
      </c>
      <c r="B1254" t="s">
        <v>5456</v>
      </c>
      <c r="C1254" t="str">
        <f>"9783319334455"</f>
        <v>9783319334455</v>
      </c>
      <c r="D1254" t="str">
        <f>"9783319334462"</f>
        <v>9783319334462</v>
      </c>
      <c r="E1254" t="s">
        <v>2905</v>
      </c>
      <c r="F1254" s="1">
        <v>42710</v>
      </c>
      <c r="G1254" t="s">
        <v>5457</v>
      </c>
      <c r="H1254" t="s">
        <v>5458</v>
      </c>
      <c r="I1254" t="s">
        <v>4478</v>
      </c>
      <c r="J1254">
        <v>332.64569999999998</v>
      </c>
      <c r="L1254" t="s">
        <v>20</v>
      </c>
      <c r="M1254" t="s">
        <v>5459</v>
      </c>
    </row>
    <row r="1255" spans="1:13" x14ac:dyDescent="0.25">
      <c r="A1255">
        <v>6422568</v>
      </c>
      <c r="B1255" t="s">
        <v>5460</v>
      </c>
      <c r="C1255" t="str">
        <f>"9783319750187"</f>
        <v>9783319750187</v>
      </c>
      <c r="D1255" t="str">
        <f>"9783319750194"</f>
        <v>9783319750194</v>
      </c>
      <c r="E1255" t="s">
        <v>2905</v>
      </c>
      <c r="F1255" s="1">
        <v>43194</v>
      </c>
      <c r="G1255" t="s">
        <v>5461</v>
      </c>
      <c r="H1255" t="s">
        <v>266</v>
      </c>
      <c r="I1255" t="s">
        <v>4699</v>
      </c>
      <c r="L1255" t="s">
        <v>20</v>
      </c>
      <c r="M1255" t="s">
        <v>5462</v>
      </c>
    </row>
    <row r="1256" spans="1:13" x14ac:dyDescent="0.25">
      <c r="A1256">
        <v>6422569</v>
      </c>
      <c r="B1256" t="s">
        <v>5463</v>
      </c>
      <c r="C1256" t="str">
        <f>"9784431556749"</f>
        <v>9784431556749</v>
      </c>
      <c r="D1256" t="str">
        <f>"9784431556756"</f>
        <v>9784431556756</v>
      </c>
      <c r="E1256" t="s">
        <v>4510</v>
      </c>
      <c r="F1256" s="1">
        <v>42272</v>
      </c>
      <c r="G1256" t="s">
        <v>5464</v>
      </c>
      <c r="H1256" t="s">
        <v>5465</v>
      </c>
      <c r="I1256" t="s">
        <v>5466</v>
      </c>
      <c r="J1256" t="s">
        <v>5467</v>
      </c>
      <c r="L1256" t="s">
        <v>20</v>
      </c>
      <c r="M1256" t="s">
        <v>5468</v>
      </c>
    </row>
    <row r="1257" spans="1:13" x14ac:dyDescent="0.25">
      <c r="A1257">
        <v>6422570</v>
      </c>
      <c r="B1257" t="s">
        <v>5469</v>
      </c>
      <c r="C1257" t="str">
        <f>"9783319713649"</f>
        <v>9783319713649</v>
      </c>
      <c r="D1257" t="str">
        <f>"9783319713656"</f>
        <v>9783319713656</v>
      </c>
      <c r="E1257" t="s">
        <v>2905</v>
      </c>
      <c r="F1257" s="1">
        <v>43396</v>
      </c>
      <c r="G1257" t="s">
        <v>5470</v>
      </c>
      <c r="H1257" t="s">
        <v>2731</v>
      </c>
      <c r="I1257" t="s">
        <v>5471</v>
      </c>
      <c r="L1257" t="s">
        <v>20</v>
      </c>
      <c r="M1257" t="s">
        <v>5472</v>
      </c>
    </row>
    <row r="1258" spans="1:13" x14ac:dyDescent="0.25">
      <c r="A1258">
        <v>6422571</v>
      </c>
      <c r="B1258" t="s">
        <v>5473</v>
      </c>
      <c r="C1258" t="str">
        <f>"9783319445878"</f>
        <v>9783319445878</v>
      </c>
      <c r="D1258" t="str">
        <f>"9783319445885"</f>
        <v>9783319445885</v>
      </c>
      <c r="E1258" t="s">
        <v>2905</v>
      </c>
      <c r="F1258" s="1">
        <v>42753</v>
      </c>
      <c r="G1258" t="s">
        <v>5474</v>
      </c>
      <c r="H1258" t="s">
        <v>64</v>
      </c>
      <c r="I1258" t="s">
        <v>4239</v>
      </c>
      <c r="J1258">
        <v>306.42</v>
      </c>
      <c r="L1258" t="s">
        <v>20</v>
      </c>
      <c r="M1258" t="s">
        <v>5475</v>
      </c>
    </row>
    <row r="1259" spans="1:13" x14ac:dyDescent="0.25">
      <c r="A1259">
        <v>6422572</v>
      </c>
      <c r="B1259" t="s">
        <v>5476</v>
      </c>
      <c r="C1259" t="str">
        <f>"9783030613143"</f>
        <v>9783030613143</v>
      </c>
      <c r="D1259" t="str">
        <f>"9783030613150"</f>
        <v>9783030613150</v>
      </c>
      <c r="E1259" t="s">
        <v>2905</v>
      </c>
      <c r="F1259" s="1">
        <v>44173</v>
      </c>
      <c r="G1259" t="s">
        <v>5477</v>
      </c>
      <c r="H1259" t="s">
        <v>5371</v>
      </c>
      <c r="I1259" t="s">
        <v>5154</v>
      </c>
      <c r="J1259">
        <v>630.27700000000004</v>
      </c>
      <c r="L1259" t="s">
        <v>20</v>
      </c>
      <c r="M1259" t="s">
        <v>5478</v>
      </c>
    </row>
    <row r="1260" spans="1:13" x14ac:dyDescent="0.25">
      <c r="A1260">
        <v>6422573</v>
      </c>
      <c r="B1260" t="s">
        <v>5479</v>
      </c>
      <c r="C1260" t="str">
        <f>"9783319311128"</f>
        <v>9783319311128</v>
      </c>
      <c r="D1260" t="str">
        <f>"9783319311135"</f>
        <v>9783319311135</v>
      </c>
      <c r="E1260" t="s">
        <v>2905</v>
      </c>
      <c r="F1260" s="1">
        <v>42608</v>
      </c>
      <c r="G1260" t="s">
        <v>5480</v>
      </c>
      <c r="H1260" t="s">
        <v>5481</v>
      </c>
      <c r="I1260" t="s">
        <v>4619</v>
      </c>
      <c r="L1260" t="s">
        <v>20</v>
      </c>
      <c r="M1260" t="s">
        <v>5482</v>
      </c>
    </row>
    <row r="1261" spans="1:13" x14ac:dyDescent="0.25">
      <c r="A1261">
        <v>6422574</v>
      </c>
      <c r="B1261" t="s">
        <v>5483</v>
      </c>
      <c r="C1261" t="str">
        <f>"9783658272579"</f>
        <v>9783658272579</v>
      </c>
      <c r="D1261" t="str">
        <f>"9783658272586"</f>
        <v>9783658272586</v>
      </c>
      <c r="E1261" t="s">
        <v>4472</v>
      </c>
      <c r="F1261" s="1">
        <v>43721</v>
      </c>
      <c r="G1261" t="s">
        <v>5484</v>
      </c>
      <c r="H1261" t="s">
        <v>1753</v>
      </c>
      <c r="I1261" t="s">
        <v>5485</v>
      </c>
      <c r="L1261" t="s">
        <v>291</v>
      </c>
      <c r="M1261" t="s">
        <v>5486</v>
      </c>
    </row>
    <row r="1262" spans="1:13" x14ac:dyDescent="0.25">
      <c r="A1262">
        <v>6422575</v>
      </c>
      <c r="B1262" t="s">
        <v>5487</v>
      </c>
      <c r="C1262" t="str">
        <f>"9783642341373"</f>
        <v>9783642341373</v>
      </c>
      <c r="D1262" t="str">
        <f>"9783642341380"</f>
        <v>9783642341380</v>
      </c>
      <c r="E1262" t="s">
        <v>4540</v>
      </c>
      <c r="F1262" s="1">
        <v>41374</v>
      </c>
      <c r="G1262" t="s">
        <v>5488</v>
      </c>
      <c r="H1262" t="s">
        <v>5489</v>
      </c>
      <c r="I1262" t="s">
        <v>5490</v>
      </c>
      <c r="J1262">
        <v>623.81200000000001</v>
      </c>
      <c r="L1262" t="s">
        <v>20</v>
      </c>
      <c r="M1262" t="s">
        <v>5491</v>
      </c>
    </row>
    <row r="1263" spans="1:13" x14ac:dyDescent="0.25">
      <c r="A1263">
        <v>6422576</v>
      </c>
      <c r="B1263" t="s">
        <v>5492</v>
      </c>
      <c r="C1263" t="str">
        <f>"9783658208004"</f>
        <v>9783658208004</v>
      </c>
      <c r="D1263" t="str">
        <f>"9783658208011"</f>
        <v>9783658208011</v>
      </c>
      <c r="E1263" t="s">
        <v>4472</v>
      </c>
      <c r="F1263" s="1">
        <v>43244</v>
      </c>
      <c r="G1263" t="s">
        <v>5493</v>
      </c>
      <c r="H1263" t="s">
        <v>1753</v>
      </c>
      <c r="I1263" t="s">
        <v>4753</v>
      </c>
      <c r="L1263" t="s">
        <v>291</v>
      </c>
      <c r="M1263" t="s">
        <v>5494</v>
      </c>
    </row>
    <row r="1264" spans="1:13" x14ac:dyDescent="0.25">
      <c r="A1264">
        <v>6422578</v>
      </c>
      <c r="B1264" t="s">
        <v>5495</v>
      </c>
      <c r="C1264" t="str">
        <f>"9783319730189"</f>
        <v>9783319730189</v>
      </c>
      <c r="D1264" t="str">
        <f>"9783319730196"</f>
        <v>9783319730196</v>
      </c>
      <c r="E1264" t="s">
        <v>2905</v>
      </c>
      <c r="F1264" s="1">
        <v>43201</v>
      </c>
      <c r="G1264" t="s">
        <v>5496</v>
      </c>
      <c r="H1264" t="s">
        <v>239</v>
      </c>
      <c r="I1264" t="s">
        <v>5497</v>
      </c>
      <c r="L1264" t="s">
        <v>20</v>
      </c>
      <c r="M1264" t="s">
        <v>5498</v>
      </c>
    </row>
    <row r="1265" spans="1:13" x14ac:dyDescent="0.25">
      <c r="A1265">
        <v>6422579</v>
      </c>
      <c r="B1265" t="s">
        <v>5499</v>
      </c>
      <c r="C1265" t="str">
        <f>"9783319086040"</f>
        <v>9783319086040</v>
      </c>
      <c r="D1265" t="str">
        <f>"9783319086057"</f>
        <v>9783319086057</v>
      </c>
      <c r="E1265" t="s">
        <v>2905</v>
      </c>
      <c r="F1265" s="1">
        <v>41991</v>
      </c>
      <c r="G1265" t="s">
        <v>5500</v>
      </c>
      <c r="H1265" t="s">
        <v>1586</v>
      </c>
      <c r="I1265" t="s">
        <v>5501</v>
      </c>
      <c r="L1265" t="s">
        <v>20</v>
      </c>
      <c r="M1265" t="s">
        <v>5502</v>
      </c>
    </row>
    <row r="1266" spans="1:13" x14ac:dyDescent="0.25">
      <c r="A1266">
        <v>6422580</v>
      </c>
      <c r="B1266" t="s">
        <v>5503</v>
      </c>
      <c r="C1266" t="str">
        <f>"9783319191317"</f>
        <v>9783319191317</v>
      </c>
      <c r="D1266" t="str">
        <f>"9783319191324"</f>
        <v>9783319191324</v>
      </c>
      <c r="E1266" t="s">
        <v>2905</v>
      </c>
      <c r="F1266" s="1">
        <v>42215</v>
      </c>
      <c r="G1266" t="s">
        <v>5504</v>
      </c>
      <c r="H1266" t="s">
        <v>266</v>
      </c>
      <c r="I1266" t="s">
        <v>5505</v>
      </c>
      <c r="L1266" t="s">
        <v>20</v>
      </c>
      <c r="M1266" t="s">
        <v>5506</v>
      </c>
    </row>
    <row r="1267" spans="1:13" x14ac:dyDescent="0.25">
      <c r="A1267">
        <v>6422581</v>
      </c>
      <c r="B1267" t="s">
        <v>5507</v>
      </c>
      <c r="C1267" t="str">
        <f>"9783319961897"</f>
        <v>9783319961897</v>
      </c>
      <c r="D1267" t="str">
        <f>"9783319961903"</f>
        <v>9783319961903</v>
      </c>
      <c r="E1267" t="s">
        <v>2905</v>
      </c>
      <c r="F1267" s="1">
        <v>43455</v>
      </c>
      <c r="G1267" t="s">
        <v>5508</v>
      </c>
      <c r="H1267" t="s">
        <v>1283</v>
      </c>
      <c r="I1267" t="s">
        <v>5358</v>
      </c>
      <c r="L1267" t="s">
        <v>20</v>
      </c>
      <c r="M1267" t="s">
        <v>5509</v>
      </c>
    </row>
    <row r="1268" spans="1:13" x14ac:dyDescent="0.25">
      <c r="A1268">
        <v>6422582</v>
      </c>
      <c r="B1268" t="s">
        <v>5510</v>
      </c>
      <c r="C1268" t="str">
        <f>"9783319724065"</f>
        <v>9783319724065</v>
      </c>
      <c r="D1268" t="str">
        <f>"9783319724089"</f>
        <v>9783319724089</v>
      </c>
      <c r="E1268" t="s">
        <v>2905</v>
      </c>
      <c r="F1268" s="1">
        <v>43160</v>
      </c>
      <c r="G1268" t="s">
        <v>5511</v>
      </c>
      <c r="H1268" t="s">
        <v>64</v>
      </c>
      <c r="I1268" t="s">
        <v>5512</v>
      </c>
      <c r="J1268">
        <v>300.11</v>
      </c>
      <c r="L1268" t="s">
        <v>20</v>
      </c>
      <c r="M1268" t="s">
        <v>5513</v>
      </c>
    </row>
    <row r="1269" spans="1:13" x14ac:dyDescent="0.25">
      <c r="A1269">
        <v>6422583</v>
      </c>
      <c r="B1269" t="s">
        <v>5514</v>
      </c>
      <c r="C1269" t="str">
        <f>"9783319424132"</f>
        <v>9783319424132</v>
      </c>
      <c r="D1269" t="str">
        <f>"9783319424149"</f>
        <v>9783319424149</v>
      </c>
      <c r="E1269" t="s">
        <v>2905</v>
      </c>
      <c r="F1269" s="1">
        <v>42621</v>
      </c>
      <c r="G1269" t="s">
        <v>5515</v>
      </c>
      <c r="H1269" t="s">
        <v>1178</v>
      </c>
      <c r="I1269" t="s">
        <v>4084</v>
      </c>
      <c r="L1269" t="s">
        <v>20</v>
      </c>
      <c r="M1269" t="s">
        <v>5516</v>
      </c>
    </row>
    <row r="1270" spans="1:13" x14ac:dyDescent="0.25">
      <c r="A1270">
        <v>6422584</v>
      </c>
      <c r="B1270" t="s">
        <v>5517</v>
      </c>
      <c r="C1270" t="str">
        <f>"9783319625966"</f>
        <v>9783319625966</v>
      </c>
      <c r="D1270" t="str">
        <f>"9783319625973"</f>
        <v>9783319625973</v>
      </c>
      <c r="E1270" t="s">
        <v>2905</v>
      </c>
      <c r="F1270" s="1">
        <v>43041</v>
      </c>
      <c r="G1270" t="s">
        <v>5518</v>
      </c>
      <c r="H1270" t="s">
        <v>1178</v>
      </c>
      <c r="I1270" t="s">
        <v>4084</v>
      </c>
      <c r="L1270" t="s">
        <v>20</v>
      </c>
      <c r="M1270" t="s">
        <v>5519</v>
      </c>
    </row>
    <row r="1271" spans="1:13" x14ac:dyDescent="0.25">
      <c r="A1271">
        <v>6422585</v>
      </c>
      <c r="B1271" t="s">
        <v>5520</v>
      </c>
      <c r="C1271" t="str">
        <f>"9783319684178"</f>
        <v>9783319684178</v>
      </c>
      <c r="D1271" t="str">
        <f>"9783319684185"</f>
        <v>9783319684185</v>
      </c>
      <c r="E1271" t="s">
        <v>2905</v>
      </c>
      <c r="F1271" s="1">
        <v>43126</v>
      </c>
      <c r="G1271" t="s">
        <v>5521</v>
      </c>
      <c r="H1271" t="s">
        <v>5522</v>
      </c>
      <c r="I1271" t="s">
        <v>4615</v>
      </c>
      <c r="J1271">
        <v>333.79129999999998</v>
      </c>
      <c r="L1271" t="s">
        <v>20</v>
      </c>
      <c r="M1271" t="s">
        <v>5523</v>
      </c>
    </row>
    <row r="1272" spans="1:13" x14ac:dyDescent="0.25">
      <c r="A1272">
        <v>6422586</v>
      </c>
      <c r="B1272" t="s">
        <v>5524</v>
      </c>
      <c r="C1272" t="str">
        <f>"9783319077697"</f>
        <v>9783319077697</v>
      </c>
      <c r="D1272" t="str">
        <f>"9783319077703"</f>
        <v>9783319077703</v>
      </c>
      <c r="E1272" t="s">
        <v>2905</v>
      </c>
      <c r="F1272" s="1">
        <v>41862</v>
      </c>
      <c r="G1272" t="s">
        <v>5525</v>
      </c>
      <c r="H1272" t="s">
        <v>139</v>
      </c>
      <c r="I1272" t="s">
        <v>5396</v>
      </c>
      <c r="L1272" t="s">
        <v>20</v>
      </c>
      <c r="M1272" t="s">
        <v>5526</v>
      </c>
    </row>
    <row r="1273" spans="1:13" x14ac:dyDescent="0.25">
      <c r="A1273">
        <v>6422587</v>
      </c>
      <c r="B1273" t="s">
        <v>5527</v>
      </c>
      <c r="C1273" t="str">
        <f>"9783319632933"</f>
        <v>9783319632933</v>
      </c>
      <c r="D1273" t="str">
        <f>"9783319632957"</f>
        <v>9783319632957</v>
      </c>
      <c r="E1273" t="s">
        <v>2905</v>
      </c>
      <c r="F1273" s="1">
        <v>43055</v>
      </c>
      <c r="G1273" t="s">
        <v>5528</v>
      </c>
      <c r="H1273" t="s">
        <v>64</v>
      </c>
      <c r="I1273" t="s">
        <v>5264</v>
      </c>
      <c r="L1273" t="s">
        <v>20</v>
      </c>
      <c r="M1273" t="s">
        <v>5529</v>
      </c>
    </row>
    <row r="1274" spans="1:13" x14ac:dyDescent="0.25">
      <c r="A1274">
        <v>6422588</v>
      </c>
      <c r="B1274" t="s">
        <v>5530</v>
      </c>
      <c r="C1274" t="str">
        <f>"9783319595061"</f>
        <v>9783319595061</v>
      </c>
      <c r="D1274" t="str">
        <f>"9783319595078"</f>
        <v>9783319595078</v>
      </c>
      <c r="E1274" t="s">
        <v>2905</v>
      </c>
      <c r="F1274" s="1">
        <v>42992</v>
      </c>
      <c r="G1274" t="s">
        <v>5531</v>
      </c>
      <c r="H1274" t="s">
        <v>495</v>
      </c>
      <c r="I1274" t="s">
        <v>5532</v>
      </c>
      <c r="J1274">
        <v>987.06420000000003</v>
      </c>
      <c r="L1274" t="s">
        <v>20</v>
      </c>
      <c r="M1274" t="s">
        <v>5533</v>
      </c>
    </row>
    <row r="1275" spans="1:13" x14ac:dyDescent="0.25">
      <c r="A1275">
        <v>6422589</v>
      </c>
      <c r="B1275" t="s">
        <v>5534</v>
      </c>
      <c r="C1275" t="str">
        <f>"9783658195052"</f>
        <v>9783658195052</v>
      </c>
      <c r="D1275" t="str">
        <f>"9783658195069"</f>
        <v>9783658195069</v>
      </c>
      <c r="E1275" t="s">
        <v>4472</v>
      </c>
      <c r="F1275" s="1">
        <v>43041</v>
      </c>
      <c r="G1275" t="s">
        <v>5535</v>
      </c>
      <c r="H1275" t="s">
        <v>83</v>
      </c>
      <c r="I1275" t="s">
        <v>4749</v>
      </c>
      <c r="L1275" t="s">
        <v>20</v>
      </c>
      <c r="M1275" t="s">
        <v>5536</v>
      </c>
    </row>
    <row r="1276" spans="1:13" x14ac:dyDescent="0.25">
      <c r="A1276">
        <v>6422590</v>
      </c>
      <c r="B1276" t="s">
        <v>5537</v>
      </c>
      <c r="C1276" t="str">
        <f>"9784431556503"</f>
        <v>9784431556503</v>
      </c>
      <c r="D1276" t="str">
        <f>"9784431556510"</f>
        <v>9784431556510</v>
      </c>
      <c r="E1276" t="s">
        <v>4510</v>
      </c>
      <c r="F1276" s="1">
        <v>42305</v>
      </c>
      <c r="G1276" t="s">
        <v>5538</v>
      </c>
      <c r="H1276" t="s">
        <v>266</v>
      </c>
      <c r="I1276" t="s">
        <v>5338</v>
      </c>
      <c r="J1276">
        <v>616</v>
      </c>
      <c r="L1276" t="s">
        <v>20</v>
      </c>
      <c r="M1276" t="s">
        <v>5539</v>
      </c>
    </row>
    <row r="1277" spans="1:13" x14ac:dyDescent="0.25">
      <c r="A1277">
        <v>6422591</v>
      </c>
      <c r="B1277" t="s">
        <v>5540</v>
      </c>
      <c r="C1277" t="str">
        <f>"9783319739892"</f>
        <v>9783319739892</v>
      </c>
      <c r="D1277" t="str">
        <f>"9783319739908"</f>
        <v>9783319739908</v>
      </c>
      <c r="E1277" t="s">
        <v>2905</v>
      </c>
      <c r="F1277" s="1">
        <v>43182</v>
      </c>
      <c r="G1277" t="s">
        <v>5541</v>
      </c>
      <c r="H1277" t="s">
        <v>272</v>
      </c>
      <c r="I1277" t="s">
        <v>5542</v>
      </c>
      <c r="L1277" t="s">
        <v>20</v>
      </c>
      <c r="M1277" t="s">
        <v>5543</v>
      </c>
    </row>
    <row r="1278" spans="1:13" x14ac:dyDescent="0.25">
      <c r="A1278">
        <v>6422592</v>
      </c>
      <c r="B1278" t="s">
        <v>5544</v>
      </c>
      <c r="C1278" t="str">
        <f>"9789400759367"</f>
        <v>9789400759367</v>
      </c>
      <c r="D1278" t="str">
        <f>"9789400759374"</f>
        <v>9789400759374</v>
      </c>
      <c r="E1278" t="s">
        <v>4612</v>
      </c>
      <c r="F1278" s="1">
        <v>41250</v>
      </c>
      <c r="G1278" t="s">
        <v>5545</v>
      </c>
      <c r="H1278" t="s">
        <v>363</v>
      </c>
      <c r="I1278" t="s">
        <v>5090</v>
      </c>
      <c r="J1278">
        <v>370.113</v>
      </c>
      <c r="L1278" t="s">
        <v>20</v>
      </c>
      <c r="M1278" t="s">
        <v>5546</v>
      </c>
    </row>
    <row r="1279" spans="1:13" x14ac:dyDescent="0.25">
      <c r="A1279">
        <v>6422593</v>
      </c>
      <c r="B1279" t="s">
        <v>5547</v>
      </c>
      <c r="C1279" t="str">
        <f>"9781484218419"</f>
        <v>9781484218419</v>
      </c>
      <c r="D1279" t="str">
        <f>"9781484218426"</f>
        <v>9781484218426</v>
      </c>
      <c r="E1279" t="s">
        <v>5036</v>
      </c>
      <c r="F1279" s="1">
        <v>42685</v>
      </c>
      <c r="G1279" t="s">
        <v>5548</v>
      </c>
      <c r="H1279" t="s">
        <v>712</v>
      </c>
      <c r="I1279" t="s">
        <v>4553</v>
      </c>
      <c r="L1279" t="s">
        <v>20</v>
      </c>
      <c r="M1279" t="s">
        <v>5549</v>
      </c>
    </row>
    <row r="1280" spans="1:13" x14ac:dyDescent="0.25">
      <c r="A1280">
        <v>6422594</v>
      </c>
      <c r="B1280" t="s">
        <v>5550</v>
      </c>
      <c r="C1280" t="str">
        <f>"9783319137186"</f>
        <v>9783319137186</v>
      </c>
      <c r="D1280" t="str">
        <f>"9783319137193"</f>
        <v>9783319137193</v>
      </c>
      <c r="E1280" t="s">
        <v>2905</v>
      </c>
      <c r="F1280" s="1">
        <v>42166</v>
      </c>
      <c r="G1280" t="s">
        <v>5551</v>
      </c>
      <c r="H1280" t="s">
        <v>120</v>
      </c>
      <c r="I1280" t="s">
        <v>4676</v>
      </c>
      <c r="J1280">
        <v>304.80949600000002</v>
      </c>
      <c r="L1280" t="s">
        <v>20</v>
      </c>
      <c r="M1280" t="s">
        <v>5552</v>
      </c>
    </row>
    <row r="1281" spans="1:13" x14ac:dyDescent="0.25">
      <c r="A1281">
        <v>6422597</v>
      </c>
      <c r="B1281" t="s">
        <v>5553</v>
      </c>
      <c r="C1281" t="str">
        <f>"9783319120898"</f>
        <v>9783319120898</v>
      </c>
      <c r="D1281" t="str">
        <f>"9783319120904"</f>
        <v>9783319120904</v>
      </c>
      <c r="E1281" t="s">
        <v>2905</v>
      </c>
      <c r="F1281" s="1">
        <v>41991</v>
      </c>
      <c r="G1281" t="s">
        <v>5554</v>
      </c>
      <c r="H1281" t="s">
        <v>4564</v>
      </c>
      <c r="I1281" t="s">
        <v>5555</v>
      </c>
      <c r="L1281" t="s">
        <v>20</v>
      </c>
      <c r="M1281" t="s">
        <v>5556</v>
      </c>
    </row>
    <row r="1282" spans="1:13" x14ac:dyDescent="0.25">
      <c r="A1282">
        <v>6422598</v>
      </c>
      <c r="B1282" t="s">
        <v>5557</v>
      </c>
      <c r="C1282" t="str">
        <f>"9783319606200"</f>
        <v>9783319606200</v>
      </c>
      <c r="D1282" t="str">
        <f>"9783319606217"</f>
        <v>9783319606217</v>
      </c>
      <c r="E1282" t="s">
        <v>2905</v>
      </c>
      <c r="F1282" s="1">
        <v>42986</v>
      </c>
      <c r="G1282" t="s">
        <v>5558</v>
      </c>
      <c r="H1282" t="s">
        <v>30</v>
      </c>
      <c r="I1282" t="s">
        <v>5559</v>
      </c>
      <c r="J1282">
        <v>327.17200000000003</v>
      </c>
      <c r="L1282" t="s">
        <v>20</v>
      </c>
      <c r="M1282" t="s">
        <v>5560</v>
      </c>
    </row>
    <row r="1283" spans="1:13" x14ac:dyDescent="0.25">
      <c r="A1283">
        <v>6422599</v>
      </c>
      <c r="B1283" t="s">
        <v>5561</v>
      </c>
      <c r="C1283" t="str">
        <f>"9783642303814"</f>
        <v>9783642303814</v>
      </c>
      <c r="D1283" t="str">
        <f>"9783642303821"</f>
        <v>9783642303821</v>
      </c>
      <c r="E1283" t="s">
        <v>4540</v>
      </c>
      <c r="F1283" s="1">
        <v>41040</v>
      </c>
      <c r="G1283" t="s">
        <v>5562</v>
      </c>
      <c r="H1283" t="s">
        <v>712</v>
      </c>
      <c r="I1283" t="s">
        <v>5426</v>
      </c>
      <c r="L1283" t="s">
        <v>20</v>
      </c>
      <c r="M1283" t="s">
        <v>5563</v>
      </c>
    </row>
    <row r="1284" spans="1:13" x14ac:dyDescent="0.25">
      <c r="A1284">
        <v>6422600</v>
      </c>
      <c r="B1284" t="s">
        <v>5564</v>
      </c>
      <c r="C1284" t="str">
        <f>"9783319939339"</f>
        <v>9783319939339</v>
      </c>
      <c r="D1284" t="str">
        <f>"9783319939353"</f>
        <v>9783319939353</v>
      </c>
      <c r="E1284" t="s">
        <v>2905</v>
      </c>
      <c r="F1284" s="1">
        <v>43389</v>
      </c>
      <c r="G1284" t="s">
        <v>5565</v>
      </c>
      <c r="H1284" t="s">
        <v>712</v>
      </c>
      <c r="I1284" t="s">
        <v>4553</v>
      </c>
      <c r="L1284" t="s">
        <v>20</v>
      </c>
      <c r="M1284" t="s">
        <v>5566</v>
      </c>
    </row>
    <row r="1285" spans="1:13" x14ac:dyDescent="0.25">
      <c r="A1285">
        <v>6422601</v>
      </c>
      <c r="B1285" t="s">
        <v>5567</v>
      </c>
      <c r="C1285" t="str">
        <f>"9783319446530"</f>
        <v>9783319446530</v>
      </c>
      <c r="D1285" t="str">
        <f>"9783319446547"</f>
        <v>9783319446547</v>
      </c>
      <c r="E1285" t="s">
        <v>2905</v>
      </c>
      <c r="F1285" s="1">
        <v>42759</v>
      </c>
      <c r="G1285" t="s">
        <v>5568</v>
      </c>
      <c r="H1285" t="s">
        <v>4451</v>
      </c>
      <c r="I1285" t="s">
        <v>4239</v>
      </c>
      <c r="L1285" t="s">
        <v>20</v>
      </c>
      <c r="M1285" t="s">
        <v>5569</v>
      </c>
    </row>
    <row r="1286" spans="1:13" x14ac:dyDescent="0.25">
      <c r="A1286">
        <v>6422602</v>
      </c>
      <c r="B1286" t="s">
        <v>5570</v>
      </c>
      <c r="C1286" t="str">
        <f>"9789811015595"</f>
        <v>9789811015595</v>
      </c>
      <c r="D1286" t="str">
        <f>"9789811015601"</f>
        <v>9789811015601</v>
      </c>
      <c r="E1286" t="s">
        <v>4099</v>
      </c>
      <c r="F1286" s="1">
        <v>42714</v>
      </c>
      <c r="G1286" t="s">
        <v>5571</v>
      </c>
      <c r="H1286" t="s">
        <v>266</v>
      </c>
      <c r="I1286" t="s">
        <v>5572</v>
      </c>
      <c r="J1286">
        <v>617.52200000000005</v>
      </c>
      <c r="L1286" t="s">
        <v>20</v>
      </c>
      <c r="M1286" t="s">
        <v>5573</v>
      </c>
    </row>
    <row r="1287" spans="1:13" x14ac:dyDescent="0.25">
      <c r="A1287">
        <v>6422603</v>
      </c>
      <c r="B1287" t="s">
        <v>5574</v>
      </c>
      <c r="C1287" t="str">
        <f>"9781137529619"</f>
        <v>9781137529619</v>
      </c>
      <c r="D1287" t="str">
        <f>"9781137529626"</f>
        <v>9781137529626</v>
      </c>
      <c r="E1287" t="s">
        <v>4626</v>
      </c>
      <c r="F1287" s="1">
        <v>42228</v>
      </c>
      <c r="G1287" t="s">
        <v>5575</v>
      </c>
      <c r="H1287" t="s">
        <v>266</v>
      </c>
      <c r="I1287" t="s">
        <v>5576</v>
      </c>
      <c r="L1287" t="s">
        <v>20</v>
      </c>
      <c r="M1287" t="s">
        <v>5577</v>
      </c>
    </row>
    <row r="1288" spans="1:13" x14ac:dyDescent="0.25">
      <c r="A1288">
        <v>6422604</v>
      </c>
      <c r="B1288" t="s">
        <v>5578</v>
      </c>
      <c r="C1288" t="str">
        <f>"9783319187679"</f>
        <v>9783319187679</v>
      </c>
      <c r="D1288" t="str">
        <f>"9783319208770"</f>
        <v>9783319208770</v>
      </c>
      <c r="E1288" t="s">
        <v>2905</v>
      </c>
      <c r="F1288" s="1">
        <v>42299</v>
      </c>
      <c r="G1288" t="s">
        <v>5579</v>
      </c>
      <c r="H1288" t="s">
        <v>363</v>
      </c>
      <c r="I1288" t="s">
        <v>4529</v>
      </c>
      <c r="J1288">
        <v>378.4</v>
      </c>
      <c r="L1288" t="s">
        <v>20</v>
      </c>
      <c r="M1288" t="s">
        <v>5580</v>
      </c>
    </row>
    <row r="1289" spans="1:13" x14ac:dyDescent="0.25">
      <c r="A1289">
        <v>6422605</v>
      </c>
      <c r="B1289" t="s">
        <v>5581</v>
      </c>
      <c r="C1289" t="str">
        <f>"9783319129181"</f>
        <v>9783319129181</v>
      </c>
      <c r="D1289" t="str">
        <f>"9783319129198"</f>
        <v>9783319129198</v>
      </c>
      <c r="E1289" t="s">
        <v>2905</v>
      </c>
      <c r="F1289" s="1">
        <v>42075</v>
      </c>
      <c r="G1289" t="s">
        <v>5582</v>
      </c>
      <c r="H1289" t="s">
        <v>363</v>
      </c>
      <c r="I1289" t="s">
        <v>4529</v>
      </c>
      <c r="J1289">
        <v>378.17942094</v>
      </c>
      <c r="L1289" t="s">
        <v>20</v>
      </c>
      <c r="M1289" t="s">
        <v>5583</v>
      </c>
    </row>
    <row r="1290" spans="1:13" x14ac:dyDescent="0.25">
      <c r="A1290">
        <v>6422606</v>
      </c>
      <c r="B1290" t="s">
        <v>5584</v>
      </c>
      <c r="C1290" t="str">
        <f>"9783642256424"</f>
        <v>9783642256424</v>
      </c>
      <c r="D1290" t="str">
        <f>"9783642256431"</f>
        <v>9783642256431</v>
      </c>
      <c r="E1290" t="s">
        <v>4540</v>
      </c>
      <c r="F1290" s="1">
        <v>41647</v>
      </c>
      <c r="G1290" t="s">
        <v>5585</v>
      </c>
      <c r="H1290" t="s">
        <v>3355</v>
      </c>
      <c r="I1290" t="s">
        <v>5298</v>
      </c>
      <c r="J1290">
        <v>551.52459999999996</v>
      </c>
      <c r="L1290" t="s">
        <v>20</v>
      </c>
      <c r="M1290" t="s">
        <v>5586</v>
      </c>
    </row>
    <row r="1291" spans="1:13" x14ac:dyDescent="0.25">
      <c r="A1291">
        <v>6422607</v>
      </c>
      <c r="B1291" t="s">
        <v>5587</v>
      </c>
      <c r="C1291" t="str">
        <f>"9781137487520"</f>
        <v>9781137487520</v>
      </c>
      <c r="D1291" t="str">
        <f>"9781137487537"</f>
        <v>9781137487537</v>
      </c>
      <c r="E1291" t="s">
        <v>4626</v>
      </c>
      <c r="F1291" s="1">
        <v>42305</v>
      </c>
      <c r="G1291" t="s">
        <v>5588</v>
      </c>
      <c r="H1291" t="s">
        <v>5589</v>
      </c>
      <c r="I1291" t="s">
        <v>5590</v>
      </c>
      <c r="J1291" t="s">
        <v>5591</v>
      </c>
      <c r="L1291" t="s">
        <v>20</v>
      </c>
      <c r="M1291" t="s">
        <v>5592</v>
      </c>
    </row>
    <row r="1292" spans="1:13" x14ac:dyDescent="0.25">
      <c r="A1292">
        <v>6422608</v>
      </c>
      <c r="B1292" t="s">
        <v>5593</v>
      </c>
      <c r="C1292" t="str">
        <f>"9784431551102"</f>
        <v>9784431551102</v>
      </c>
      <c r="D1292" t="str">
        <f>"9784431551119"</f>
        <v>9784431551119</v>
      </c>
      <c r="E1292" t="s">
        <v>4510</v>
      </c>
      <c r="F1292" s="1">
        <v>41962</v>
      </c>
      <c r="G1292" t="s">
        <v>5594</v>
      </c>
      <c r="H1292" t="s">
        <v>2569</v>
      </c>
      <c r="I1292" t="s">
        <v>5310</v>
      </c>
      <c r="L1292" t="s">
        <v>20</v>
      </c>
      <c r="M1292" t="s">
        <v>5595</v>
      </c>
    </row>
    <row r="1293" spans="1:13" x14ac:dyDescent="0.25">
      <c r="A1293">
        <v>6422610</v>
      </c>
      <c r="B1293" t="s">
        <v>5596</v>
      </c>
      <c r="C1293" t="str">
        <f>"9783642318290"</f>
        <v>9783642318290</v>
      </c>
      <c r="D1293" t="str">
        <f>"9783642318306"</f>
        <v>9783642318306</v>
      </c>
      <c r="E1293" t="s">
        <v>4540</v>
      </c>
      <c r="F1293" s="1">
        <v>41095</v>
      </c>
      <c r="G1293" t="s">
        <v>5597</v>
      </c>
      <c r="H1293" t="s">
        <v>5598</v>
      </c>
      <c r="I1293" t="s">
        <v>4181</v>
      </c>
      <c r="J1293" t="s">
        <v>5599</v>
      </c>
      <c r="L1293" t="s">
        <v>20</v>
      </c>
      <c r="M1293" t="s">
        <v>5600</v>
      </c>
    </row>
    <row r="1294" spans="1:13" x14ac:dyDescent="0.25">
      <c r="A1294">
        <v>6422611</v>
      </c>
      <c r="B1294" t="s">
        <v>5601</v>
      </c>
      <c r="C1294" t="str">
        <f>"9783319927213"</f>
        <v>9783319927213</v>
      </c>
      <c r="D1294" t="str">
        <f>"9783319927220"</f>
        <v>9783319927220</v>
      </c>
      <c r="E1294" t="s">
        <v>2905</v>
      </c>
      <c r="F1294" s="1">
        <v>43399</v>
      </c>
      <c r="G1294" t="s">
        <v>5602</v>
      </c>
      <c r="H1294" t="s">
        <v>16</v>
      </c>
      <c r="I1294" t="s">
        <v>4820</v>
      </c>
      <c r="L1294" t="s">
        <v>20</v>
      </c>
      <c r="M1294" t="s">
        <v>5603</v>
      </c>
    </row>
    <row r="1295" spans="1:13" x14ac:dyDescent="0.25">
      <c r="A1295">
        <v>6422612</v>
      </c>
      <c r="B1295" t="s">
        <v>5604</v>
      </c>
      <c r="C1295" t="str">
        <f>"9783319417745"</f>
        <v>9783319417745</v>
      </c>
      <c r="D1295" t="str">
        <f>"9783319417769"</f>
        <v>9783319417769</v>
      </c>
      <c r="E1295" t="s">
        <v>2905</v>
      </c>
      <c r="F1295" s="1">
        <v>42685</v>
      </c>
      <c r="G1295" t="s">
        <v>5605</v>
      </c>
      <c r="H1295" t="s">
        <v>120</v>
      </c>
      <c r="I1295" t="s">
        <v>4676</v>
      </c>
      <c r="J1295">
        <v>304.84047700000002</v>
      </c>
      <c r="L1295" t="s">
        <v>20</v>
      </c>
      <c r="M1295" t="s">
        <v>5606</v>
      </c>
    </row>
    <row r="1296" spans="1:13" x14ac:dyDescent="0.25">
      <c r="A1296">
        <v>6422613</v>
      </c>
      <c r="B1296" t="s">
        <v>5607</v>
      </c>
      <c r="C1296" t="str">
        <f>"9789812872838"</f>
        <v>9789812872838</v>
      </c>
      <c r="D1296" t="str">
        <f>"9789812872845"</f>
        <v>9789812872845</v>
      </c>
      <c r="E1296" t="s">
        <v>4099</v>
      </c>
      <c r="F1296" s="1">
        <v>42019</v>
      </c>
      <c r="G1296" t="s">
        <v>5608</v>
      </c>
      <c r="H1296" t="s">
        <v>1753</v>
      </c>
      <c r="I1296" t="s">
        <v>5609</v>
      </c>
      <c r="L1296" t="s">
        <v>20</v>
      </c>
      <c r="M1296" t="s">
        <v>5610</v>
      </c>
    </row>
    <row r="1297" spans="1:13" x14ac:dyDescent="0.25">
      <c r="A1297">
        <v>6422614</v>
      </c>
      <c r="B1297" t="s">
        <v>5611</v>
      </c>
      <c r="C1297" t="str">
        <f>"9783319200941"</f>
        <v>9783319200941</v>
      </c>
      <c r="D1297" t="str">
        <f>"9783319200958"</f>
        <v>9783319200958</v>
      </c>
      <c r="E1297" t="s">
        <v>2905</v>
      </c>
      <c r="F1297" s="1">
        <v>42243</v>
      </c>
      <c r="G1297" t="s">
        <v>5612</v>
      </c>
      <c r="H1297" t="s">
        <v>120</v>
      </c>
      <c r="I1297" t="s">
        <v>4676</v>
      </c>
      <c r="J1297">
        <v>305.80015194999999</v>
      </c>
      <c r="L1297" t="s">
        <v>20</v>
      </c>
      <c r="M1297" t="s">
        <v>5613</v>
      </c>
    </row>
    <row r="1298" spans="1:13" x14ac:dyDescent="0.25">
      <c r="A1298">
        <v>6422616</v>
      </c>
      <c r="B1298" t="s">
        <v>5614</v>
      </c>
      <c r="C1298" t="str">
        <f>"9783319146928"</f>
        <v>9783319146928</v>
      </c>
      <c r="D1298" t="str">
        <f>"9783319146935"</f>
        <v>9783319146935</v>
      </c>
      <c r="E1298" t="s">
        <v>2905</v>
      </c>
      <c r="F1298" s="1">
        <v>42041</v>
      </c>
      <c r="G1298" t="s">
        <v>5615</v>
      </c>
      <c r="H1298" t="s">
        <v>5616</v>
      </c>
      <c r="I1298" t="s">
        <v>4753</v>
      </c>
      <c r="J1298">
        <v>174.95</v>
      </c>
      <c r="L1298" t="s">
        <v>20</v>
      </c>
      <c r="M1298" t="s">
        <v>5617</v>
      </c>
    </row>
    <row r="1299" spans="1:13" x14ac:dyDescent="0.25">
      <c r="A1299">
        <v>6422617</v>
      </c>
      <c r="B1299" t="s">
        <v>5618</v>
      </c>
      <c r="C1299" t="str">
        <f>"9783662582244"</f>
        <v>9783662582244</v>
      </c>
      <c r="D1299" t="str">
        <f>"9783662582251"</f>
        <v>9783662582251</v>
      </c>
      <c r="E1299" t="s">
        <v>4540</v>
      </c>
      <c r="F1299" s="1">
        <v>43550</v>
      </c>
      <c r="G1299" t="s">
        <v>5619</v>
      </c>
      <c r="H1299" t="s">
        <v>2597</v>
      </c>
      <c r="I1299" t="s">
        <v>5389</v>
      </c>
      <c r="L1299" t="s">
        <v>291</v>
      </c>
      <c r="M1299" t="s">
        <v>5620</v>
      </c>
    </row>
    <row r="1300" spans="1:13" x14ac:dyDescent="0.25">
      <c r="A1300">
        <v>6422618</v>
      </c>
      <c r="B1300" t="s">
        <v>5621</v>
      </c>
      <c r="C1300" t="str">
        <f>"9783319390949"</f>
        <v>9783319390949</v>
      </c>
      <c r="D1300" t="str">
        <f>"9783319390956"</f>
        <v>9783319390956</v>
      </c>
      <c r="E1300" t="s">
        <v>2905</v>
      </c>
      <c r="F1300" s="1">
        <v>42619</v>
      </c>
      <c r="G1300" t="s">
        <v>5622</v>
      </c>
      <c r="H1300" t="s">
        <v>5623</v>
      </c>
      <c r="I1300" t="s">
        <v>5624</v>
      </c>
      <c r="L1300" t="s">
        <v>20</v>
      </c>
      <c r="M1300" t="s">
        <v>5625</v>
      </c>
    </row>
    <row r="1301" spans="1:13" x14ac:dyDescent="0.25">
      <c r="A1301">
        <v>6422619</v>
      </c>
      <c r="B1301" t="s">
        <v>5626</v>
      </c>
      <c r="C1301" t="str">
        <f>"9781137448873"</f>
        <v>9781137448873</v>
      </c>
      <c r="D1301" t="str">
        <f>"9781137448880"</f>
        <v>9781137448880</v>
      </c>
      <c r="E1301" t="s">
        <v>4626</v>
      </c>
      <c r="F1301" s="1">
        <v>42249</v>
      </c>
      <c r="G1301" t="s">
        <v>5627</v>
      </c>
      <c r="H1301" t="s">
        <v>5628</v>
      </c>
      <c r="I1301" t="s">
        <v>5629</v>
      </c>
      <c r="J1301">
        <v>616.89008100000001</v>
      </c>
      <c r="L1301" t="s">
        <v>20</v>
      </c>
      <c r="M1301" t="s">
        <v>5630</v>
      </c>
    </row>
    <row r="1302" spans="1:13" x14ac:dyDescent="0.25">
      <c r="A1302">
        <v>6422620</v>
      </c>
      <c r="B1302" t="s">
        <v>5631</v>
      </c>
      <c r="C1302" t="str">
        <f>"9781137500267"</f>
        <v>9781137500267</v>
      </c>
      <c r="D1302" t="str">
        <f>"9781137500281"</f>
        <v>9781137500281</v>
      </c>
      <c r="E1302" t="s">
        <v>4626</v>
      </c>
      <c r="F1302" s="1">
        <v>41967</v>
      </c>
      <c r="G1302" t="s">
        <v>5632</v>
      </c>
      <c r="H1302" t="s">
        <v>3260</v>
      </c>
      <c r="I1302" t="s">
        <v>5633</v>
      </c>
      <c r="J1302">
        <v>1.3</v>
      </c>
      <c r="L1302" t="s">
        <v>20</v>
      </c>
      <c r="M1302" t="s">
        <v>5634</v>
      </c>
    </row>
    <row r="1303" spans="1:13" x14ac:dyDescent="0.25">
      <c r="A1303">
        <v>6422621</v>
      </c>
      <c r="B1303" t="s">
        <v>5635</v>
      </c>
      <c r="C1303" t="str">
        <f>"9783662529041"</f>
        <v>9783662529041</v>
      </c>
      <c r="D1303" t="str">
        <f>"9783662532607"</f>
        <v>9783662532607</v>
      </c>
      <c r="E1303" t="s">
        <v>4540</v>
      </c>
      <c r="F1303" s="1">
        <v>42625</v>
      </c>
      <c r="G1303" t="s">
        <v>5439</v>
      </c>
      <c r="H1303" t="s">
        <v>266</v>
      </c>
      <c r="I1303" t="s">
        <v>5636</v>
      </c>
      <c r="L1303" t="s">
        <v>291</v>
      </c>
      <c r="M1303" t="s">
        <v>5637</v>
      </c>
    </row>
    <row r="1304" spans="1:13" x14ac:dyDescent="0.25">
      <c r="A1304">
        <v>6422622</v>
      </c>
      <c r="B1304" t="s">
        <v>5638</v>
      </c>
      <c r="C1304" t="str">
        <f>"9789811084874"</f>
        <v>9789811084874</v>
      </c>
      <c r="D1304" t="str">
        <f>"9789811084881"</f>
        <v>9789811084881</v>
      </c>
      <c r="E1304" t="s">
        <v>4099</v>
      </c>
      <c r="F1304" s="1">
        <v>43203</v>
      </c>
      <c r="G1304" t="s">
        <v>5639</v>
      </c>
      <c r="H1304" t="s">
        <v>266</v>
      </c>
      <c r="I1304" t="s">
        <v>4795</v>
      </c>
      <c r="L1304" t="s">
        <v>20</v>
      </c>
      <c r="M1304" t="s">
        <v>5640</v>
      </c>
    </row>
    <row r="1305" spans="1:13" x14ac:dyDescent="0.25">
      <c r="A1305">
        <v>6422625</v>
      </c>
      <c r="B1305" t="s">
        <v>5641</v>
      </c>
      <c r="C1305" t="str">
        <f>"9789811310010"</f>
        <v>9789811310010</v>
      </c>
      <c r="D1305" t="str">
        <f>"9789811310027"</f>
        <v>9789811310027</v>
      </c>
      <c r="E1305" t="s">
        <v>4099</v>
      </c>
      <c r="F1305" s="1">
        <v>43383</v>
      </c>
      <c r="G1305" t="s">
        <v>5642</v>
      </c>
      <c r="H1305" t="s">
        <v>1580</v>
      </c>
      <c r="I1305" t="s">
        <v>5643</v>
      </c>
      <c r="L1305" t="s">
        <v>20</v>
      </c>
      <c r="M1305" t="s">
        <v>5644</v>
      </c>
    </row>
    <row r="1306" spans="1:13" x14ac:dyDescent="0.25">
      <c r="A1306">
        <v>6422626</v>
      </c>
      <c r="B1306" t="s">
        <v>5645</v>
      </c>
      <c r="C1306" t="str">
        <f>"9783319017532"</f>
        <v>9783319017532</v>
      </c>
      <c r="D1306" t="str">
        <f>"9783319017549"</f>
        <v>9783319017549</v>
      </c>
      <c r="E1306" t="s">
        <v>2905</v>
      </c>
      <c r="F1306" s="1">
        <v>41732</v>
      </c>
      <c r="G1306" t="s">
        <v>5646</v>
      </c>
      <c r="H1306" t="s">
        <v>16</v>
      </c>
      <c r="I1306" t="s">
        <v>5647</v>
      </c>
      <c r="J1306">
        <v>191</v>
      </c>
      <c r="L1306" t="s">
        <v>20</v>
      </c>
      <c r="M1306" t="s">
        <v>5648</v>
      </c>
    </row>
    <row r="1307" spans="1:13" x14ac:dyDescent="0.25">
      <c r="A1307">
        <v>6422627</v>
      </c>
      <c r="B1307" t="s">
        <v>5649</v>
      </c>
      <c r="C1307" t="str">
        <f>"9783642548116"</f>
        <v>9783642548116</v>
      </c>
      <c r="D1307" t="str">
        <f>"9783642548123"</f>
        <v>9783642548123</v>
      </c>
      <c r="E1307" t="s">
        <v>4540</v>
      </c>
      <c r="F1307" s="1">
        <v>41925</v>
      </c>
      <c r="G1307" t="s">
        <v>5650</v>
      </c>
      <c r="H1307" t="s">
        <v>5651</v>
      </c>
      <c r="I1307" t="s">
        <v>4474</v>
      </c>
      <c r="J1307">
        <v>20</v>
      </c>
      <c r="L1307" t="s">
        <v>20</v>
      </c>
      <c r="M1307" t="s">
        <v>5652</v>
      </c>
    </row>
    <row r="1308" spans="1:13" x14ac:dyDescent="0.25">
      <c r="A1308">
        <v>6422630</v>
      </c>
      <c r="B1308" t="s">
        <v>5653</v>
      </c>
      <c r="C1308" t="str">
        <f>"9783319137902"</f>
        <v>9783319137902</v>
      </c>
      <c r="D1308" t="str">
        <f>"9783319137919"</f>
        <v>9783319137919</v>
      </c>
      <c r="E1308" t="s">
        <v>2905</v>
      </c>
      <c r="F1308" s="1">
        <v>42080</v>
      </c>
      <c r="G1308" t="s">
        <v>5654</v>
      </c>
      <c r="H1308" t="s">
        <v>239</v>
      </c>
      <c r="I1308" t="s">
        <v>5655</v>
      </c>
      <c r="J1308">
        <v>341.48500000000001</v>
      </c>
      <c r="L1308" t="s">
        <v>20</v>
      </c>
      <c r="M1308" t="s">
        <v>5656</v>
      </c>
    </row>
    <row r="1309" spans="1:13" x14ac:dyDescent="0.25">
      <c r="A1309">
        <v>6422631</v>
      </c>
      <c r="B1309" t="s">
        <v>5657</v>
      </c>
      <c r="C1309" t="str">
        <f>"9783319162553"</f>
        <v>9783319162553</v>
      </c>
      <c r="D1309" t="str">
        <f>"9783319162560"</f>
        <v>9783319162560</v>
      </c>
      <c r="E1309" t="s">
        <v>2905</v>
      </c>
      <c r="F1309" s="1">
        <v>42179</v>
      </c>
      <c r="G1309" t="s">
        <v>5658</v>
      </c>
      <c r="H1309" t="s">
        <v>120</v>
      </c>
      <c r="I1309" t="s">
        <v>4676</v>
      </c>
      <c r="J1309">
        <v>305.90691209400001</v>
      </c>
      <c r="L1309" t="s">
        <v>20</v>
      </c>
      <c r="M1309" t="s">
        <v>5659</v>
      </c>
    </row>
    <row r="1310" spans="1:13" x14ac:dyDescent="0.25">
      <c r="A1310">
        <v>6422632</v>
      </c>
      <c r="B1310" t="s">
        <v>5660</v>
      </c>
      <c r="C1310" t="str">
        <f>"9783319191676"</f>
        <v>9783319191676</v>
      </c>
      <c r="D1310" t="str">
        <f>"9783319191683"</f>
        <v>9783319191683</v>
      </c>
      <c r="E1310" t="s">
        <v>2905</v>
      </c>
      <c r="F1310" s="1">
        <v>42339</v>
      </c>
      <c r="G1310" t="s">
        <v>5661</v>
      </c>
      <c r="H1310" t="s">
        <v>1753</v>
      </c>
      <c r="I1310" t="s">
        <v>3731</v>
      </c>
      <c r="L1310" t="s">
        <v>20</v>
      </c>
      <c r="M1310" t="s">
        <v>5662</v>
      </c>
    </row>
    <row r="1311" spans="1:13" x14ac:dyDescent="0.25">
      <c r="A1311">
        <v>6422633</v>
      </c>
      <c r="B1311" t="s">
        <v>5663</v>
      </c>
      <c r="C1311" t="str">
        <f>"9783319995953"</f>
        <v>9783319995953</v>
      </c>
      <c r="D1311" t="str">
        <f>"9783319995960"</f>
        <v>9783319995960</v>
      </c>
      <c r="E1311" t="s">
        <v>2905</v>
      </c>
      <c r="F1311" s="1">
        <v>43377</v>
      </c>
      <c r="G1311" t="s">
        <v>5664</v>
      </c>
      <c r="H1311" t="s">
        <v>64</v>
      </c>
      <c r="I1311" t="s">
        <v>2908</v>
      </c>
      <c r="L1311" t="s">
        <v>20</v>
      </c>
      <c r="M1311" t="s">
        <v>5665</v>
      </c>
    </row>
    <row r="1312" spans="1:13" x14ac:dyDescent="0.25">
      <c r="A1312">
        <v>6422634</v>
      </c>
      <c r="B1312" t="s">
        <v>5666</v>
      </c>
      <c r="C1312" t="str">
        <f>"9789811076169"</f>
        <v>9789811076169</v>
      </c>
      <c r="D1312" t="str">
        <f>"9789811076176"</f>
        <v>9789811076176</v>
      </c>
      <c r="E1312" t="s">
        <v>4099</v>
      </c>
      <c r="F1312" s="1">
        <v>43124</v>
      </c>
      <c r="G1312" t="s">
        <v>5667</v>
      </c>
      <c r="H1312" t="s">
        <v>1328</v>
      </c>
      <c r="I1312" t="s">
        <v>5668</v>
      </c>
      <c r="J1312">
        <v>620.11500000000001</v>
      </c>
      <c r="L1312" t="s">
        <v>20</v>
      </c>
      <c r="M1312" t="s">
        <v>5669</v>
      </c>
    </row>
    <row r="1313" spans="1:13" x14ac:dyDescent="0.25">
      <c r="A1313">
        <v>6422635</v>
      </c>
      <c r="B1313" t="s">
        <v>5670</v>
      </c>
      <c r="C1313" t="str">
        <f>"9783662514191"</f>
        <v>9783662514191</v>
      </c>
      <c r="D1313" t="str">
        <f>"9783662514207"</f>
        <v>9783662514207</v>
      </c>
      <c r="E1313" t="s">
        <v>4540</v>
      </c>
      <c r="F1313" s="1">
        <v>42642</v>
      </c>
      <c r="G1313" t="s">
        <v>5671</v>
      </c>
      <c r="H1313" t="s">
        <v>266</v>
      </c>
      <c r="I1313" t="s">
        <v>5672</v>
      </c>
      <c r="L1313" t="s">
        <v>291</v>
      </c>
      <c r="M1313" t="s">
        <v>5673</v>
      </c>
    </row>
    <row r="1314" spans="1:13" x14ac:dyDescent="0.25">
      <c r="A1314">
        <v>6422636</v>
      </c>
      <c r="B1314" t="s">
        <v>5674</v>
      </c>
      <c r="C1314" t="str">
        <f>"9783319169637"</f>
        <v>9783319169637</v>
      </c>
      <c r="D1314" t="str">
        <f>"9783319169644"</f>
        <v>9783319169644</v>
      </c>
      <c r="E1314" t="s">
        <v>2905</v>
      </c>
      <c r="F1314" s="1">
        <v>42258</v>
      </c>
      <c r="G1314" t="s">
        <v>5675</v>
      </c>
      <c r="H1314" t="s">
        <v>2623</v>
      </c>
      <c r="I1314" t="s">
        <v>5676</v>
      </c>
      <c r="J1314">
        <v>624.17619999999999</v>
      </c>
      <c r="L1314" t="s">
        <v>20</v>
      </c>
      <c r="M1314" t="s">
        <v>5677</v>
      </c>
    </row>
    <row r="1315" spans="1:13" x14ac:dyDescent="0.25">
      <c r="A1315">
        <v>6422637</v>
      </c>
      <c r="B1315" t="s">
        <v>5678</v>
      </c>
      <c r="C1315" t="str">
        <f>"9783319418131"</f>
        <v>9783319418131</v>
      </c>
      <c r="D1315" t="str">
        <f>"9783319418148"</f>
        <v>9783319418148</v>
      </c>
      <c r="E1315" t="s">
        <v>2905</v>
      </c>
      <c r="F1315" s="1">
        <v>42570</v>
      </c>
      <c r="G1315" t="s">
        <v>5679</v>
      </c>
      <c r="H1315" t="s">
        <v>363</v>
      </c>
      <c r="I1315" t="s">
        <v>4507</v>
      </c>
      <c r="L1315" t="s">
        <v>20</v>
      </c>
      <c r="M1315" t="s">
        <v>5680</v>
      </c>
    </row>
    <row r="1316" spans="1:13" x14ac:dyDescent="0.25">
      <c r="A1316">
        <v>6422638</v>
      </c>
      <c r="B1316" t="s">
        <v>5681</v>
      </c>
      <c r="C1316" t="str">
        <f>"9783319281995"</f>
        <v>9783319281995</v>
      </c>
      <c r="D1316" t="str">
        <f>"9783319282015"</f>
        <v>9783319282015</v>
      </c>
      <c r="E1316" t="s">
        <v>2905</v>
      </c>
      <c r="F1316" s="1">
        <v>42481</v>
      </c>
      <c r="G1316" t="s">
        <v>5682</v>
      </c>
      <c r="H1316" t="s">
        <v>2973</v>
      </c>
      <c r="I1316" t="s">
        <v>5683</v>
      </c>
      <c r="J1316">
        <v>338.19</v>
      </c>
      <c r="L1316" t="s">
        <v>20</v>
      </c>
      <c r="M1316" t="s">
        <v>5684</v>
      </c>
    </row>
    <row r="1317" spans="1:13" x14ac:dyDescent="0.25">
      <c r="A1317">
        <v>6422640</v>
      </c>
      <c r="B1317" t="s">
        <v>5685</v>
      </c>
      <c r="C1317" t="str">
        <f>"9783319422664"</f>
        <v>9783319422664</v>
      </c>
      <c r="D1317" t="str">
        <f>"9783319422671"</f>
        <v>9783319422671</v>
      </c>
      <c r="E1317" t="s">
        <v>2905</v>
      </c>
      <c r="F1317" s="1">
        <v>42587</v>
      </c>
      <c r="G1317" t="s">
        <v>5686</v>
      </c>
      <c r="H1317" t="s">
        <v>1178</v>
      </c>
      <c r="I1317" t="s">
        <v>4084</v>
      </c>
      <c r="J1317">
        <v>510.71</v>
      </c>
      <c r="L1317" t="s">
        <v>20</v>
      </c>
      <c r="M1317" t="s">
        <v>5687</v>
      </c>
    </row>
    <row r="1318" spans="1:13" x14ac:dyDescent="0.25">
      <c r="A1318">
        <v>6422641</v>
      </c>
      <c r="B1318" t="s">
        <v>5688</v>
      </c>
      <c r="C1318" t="str">
        <f>"9783319483627"</f>
        <v>9783319483627</v>
      </c>
      <c r="D1318" t="str">
        <f>"9783319483634"</f>
        <v>9783319483634</v>
      </c>
      <c r="E1318" t="s">
        <v>2905</v>
      </c>
      <c r="F1318" s="1">
        <v>42835</v>
      </c>
      <c r="G1318" t="s">
        <v>5689</v>
      </c>
      <c r="H1318" t="s">
        <v>30</v>
      </c>
      <c r="I1318" t="s">
        <v>5690</v>
      </c>
      <c r="L1318" t="s">
        <v>20</v>
      </c>
      <c r="M1318" t="s">
        <v>5691</v>
      </c>
    </row>
    <row r="1319" spans="1:13" x14ac:dyDescent="0.25">
      <c r="A1319">
        <v>6422644</v>
      </c>
      <c r="B1319" t="s">
        <v>5692</v>
      </c>
      <c r="C1319" t="str">
        <f>"9783319134369"</f>
        <v>9783319134369</v>
      </c>
      <c r="D1319" t="str">
        <f>"9783319134376"</f>
        <v>9783319134376</v>
      </c>
      <c r="E1319" t="s">
        <v>2905</v>
      </c>
      <c r="F1319" s="1">
        <v>42129</v>
      </c>
      <c r="G1319" t="s">
        <v>5693</v>
      </c>
      <c r="H1319" t="s">
        <v>1753</v>
      </c>
      <c r="I1319" t="s">
        <v>5029</v>
      </c>
      <c r="L1319" t="s">
        <v>20</v>
      </c>
      <c r="M1319" t="s">
        <v>5694</v>
      </c>
    </row>
    <row r="1320" spans="1:13" x14ac:dyDescent="0.25">
      <c r="A1320">
        <v>6422645</v>
      </c>
      <c r="B1320" t="s">
        <v>5695</v>
      </c>
      <c r="C1320" t="str">
        <f>"9783658280079"</f>
        <v>9783658280079</v>
      </c>
      <c r="D1320" t="str">
        <f>"9783658280086"</f>
        <v>9783658280086</v>
      </c>
      <c r="E1320" t="s">
        <v>4472</v>
      </c>
      <c r="F1320" s="1">
        <v>43801</v>
      </c>
      <c r="G1320" t="s">
        <v>5696</v>
      </c>
      <c r="H1320" t="s">
        <v>64</v>
      </c>
      <c r="I1320" t="s">
        <v>4661</v>
      </c>
      <c r="L1320" t="s">
        <v>291</v>
      </c>
      <c r="M1320" t="s">
        <v>5697</v>
      </c>
    </row>
    <row r="1321" spans="1:13" x14ac:dyDescent="0.25">
      <c r="A1321">
        <v>6422647</v>
      </c>
      <c r="B1321" t="s">
        <v>5698</v>
      </c>
      <c r="C1321" t="str">
        <f>"9789811065583"</f>
        <v>9789811065583</v>
      </c>
      <c r="D1321" t="str">
        <f>"9789811065590"</f>
        <v>9789811065590</v>
      </c>
      <c r="E1321" t="s">
        <v>4099</v>
      </c>
      <c r="F1321" s="1">
        <v>43067</v>
      </c>
      <c r="G1321" t="s">
        <v>5699</v>
      </c>
      <c r="H1321" t="s">
        <v>1753</v>
      </c>
      <c r="I1321" t="s">
        <v>4899</v>
      </c>
      <c r="L1321" t="s">
        <v>20</v>
      </c>
      <c r="M1321" t="s">
        <v>5700</v>
      </c>
    </row>
    <row r="1322" spans="1:13" x14ac:dyDescent="0.25">
      <c r="A1322">
        <v>6422648</v>
      </c>
      <c r="B1322" t="s">
        <v>5701</v>
      </c>
      <c r="C1322" t="str">
        <f>"9781137377012"</f>
        <v>9781137377012</v>
      </c>
      <c r="D1322" t="str">
        <f>"9781137377029"</f>
        <v>9781137377029</v>
      </c>
      <c r="E1322" t="s">
        <v>4626</v>
      </c>
      <c r="F1322" s="1">
        <v>41589</v>
      </c>
      <c r="G1322" t="s">
        <v>5702</v>
      </c>
      <c r="H1322" t="s">
        <v>2597</v>
      </c>
      <c r="I1322" t="s">
        <v>5268</v>
      </c>
      <c r="J1322" t="s">
        <v>5703</v>
      </c>
      <c r="L1322" t="s">
        <v>20</v>
      </c>
      <c r="M1322" t="s">
        <v>5704</v>
      </c>
    </row>
    <row r="1323" spans="1:13" x14ac:dyDescent="0.25">
      <c r="A1323">
        <v>6422649</v>
      </c>
      <c r="B1323" t="s">
        <v>5705</v>
      </c>
      <c r="C1323" t="str">
        <f>"9783319741406"</f>
        <v>9783319741406</v>
      </c>
      <c r="D1323" t="str">
        <f>"9783319741413"</f>
        <v>9783319741413</v>
      </c>
      <c r="E1323" t="s">
        <v>2905</v>
      </c>
      <c r="F1323" s="1">
        <v>43122</v>
      </c>
      <c r="G1323" t="s">
        <v>5706</v>
      </c>
      <c r="H1323" t="s">
        <v>1283</v>
      </c>
      <c r="I1323" t="s">
        <v>5683</v>
      </c>
      <c r="L1323" t="s">
        <v>20</v>
      </c>
      <c r="M1323" t="s">
        <v>5707</v>
      </c>
    </row>
    <row r="1324" spans="1:13" x14ac:dyDescent="0.25">
      <c r="A1324">
        <v>6422650</v>
      </c>
      <c r="B1324" t="s">
        <v>5708</v>
      </c>
      <c r="C1324" t="str">
        <f>"9784431548034"</f>
        <v>9784431548034</v>
      </c>
      <c r="D1324" t="str">
        <f>"9784431548041"</f>
        <v>9784431548041</v>
      </c>
      <c r="E1324" t="s">
        <v>4510</v>
      </c>
      <c r="F1324" s="1">
        <v>41725</v>
      </c>
      <c r="G1324" t="s">
        <v>5709</v>
      </c>
      <c r="H1324" t="s">
        <v>5710</v>
      </c>
      <c r="I1324" t="s">
        <v>5298</v>
      </c>
      <c r="J1324" t="s">
        <v>5711</v>
      </c>
      <c r="L1324" t="s">
        <v>20</v>
      </c>
      <c r="M1324" t="s">
        <v>5712</v>
      </c>
    </row>
    <row r="1325" spans="1:13" x14ac:dyDescent="0.25">
      <c r="A1325">
        <v>6422651</v>
      </c>
      <c r="B1325" t="s">
        <v>5713</v>
      </c>
      <c r="C1325" t="str">
        <f>"9783319723556"</f>
        <v>9783319723556</v>
      </c>
      <c r="D1325" t="str">
        <f>"9783319723563"</f>
        <v>9783319723563</v>
      </c>
      <c r="E1325" t="s">
        <v>2905</v>
      </c>
      <c r="F1325" s="1">
        <v>43153</v>
      </c>
      <c r="G1325" t="s">
        <v>5714</v>
      </c>
      <c r="H1325" t="s">
        <v>1753</v>
      </c>
      <c r="I1325" t="s">
        <v>4609</v>
      </c>
      <c r="L1325" t="s">
        <v>20</v>
      </c>
      <c r="M1325" t="s">
        <v>5715</v>
      </c>
    </row>
    <row r="1326" spans="1:13" x14ac:dyDescent="0.25">
      <c r="A1326">
        <v>6422652</v>
      </c>
      <c r="B1326" t="s">
        <v>5716</v>
      </c>
      <c r="C1326" t="str">
        <f>"9783658275938"</f>
        <v>9783658275938</v>
      </c>
      <c r="D1326" t="str">
        <f>"9783658275945"</f>
        <v>9783658275945</v>
      </c>
      <c r="E1326" t="s">
        <v>4472</v>
      </c>
      <c r="F1326" s="1">
        <v>43866</v>
      </c>
      <c r="G1326" t="s">
        <v>5717</v>
      </c>
      <c r="H1326" t="s">
        <v>310</v>
      </c>
      <c r="I1326" t="s">
        <v>5718</v>
      </c>
      <c r="L1326" t="s">
        <v>291</v>
      </c>
      <c r="M1326" t="s">
        <v>5719</v>
      </c>
    </row>
    <row r="1327" spans="1:13" x14ac:dyDescent="0.25">
      <c r="A1327">
        <v>6422654</v>
      </c>
      <c r="B1327" t="s">
        <v>5720</v>
      </c>
      <c r="C1327" t="str">
        <f>"9784431546276"</f>
        <v>9784431546276</v>
      </c>
      <c r="D1327" t="str">
        <f>"9784431546283"</f>
        <v>9784431546283</v>
      </c>
      <c r="E1327" t="s">
        <v>4510</v>
      </c>
      <c r="F1327" s="1">
        <v>42556</v>
      </c>
      <c r="G1327" t="s">
        <v>5721</v>
      </c>
      <c r="H1327" t="s">
        <v>266</v>
      </c>
      <c r="I1327" t="s">
        <v>5722</v>
      </c>
      <c r="L1327" t="s">
        <v>20</v>
      </c>
      <c r="M1327" t="s">
        <v>5723</v>
      </c>
    </row>
    <row r="1328" spans="1:13" x14ac:dyDescent="0.25">
      <c r="A1328">
        <v>6422656</v>
      </c>
      <c r="B1328" t="s">
        <v>5724</v>
      </c>
      <c r="C1328" t="str">
        <f>"9783319452630"</f>
        <v>9783319452630</v>
      </c>
      <c r="D1328" t="str">
        <f>"9783319452647"</f>
        <v>9783319452647</v>
      </c>
      <c r="E1328" t="s">
        <v>2905</v>
      </c>
      <c r="F1328" s="1">
        <v>42650</v>
      </c>
      <c r="G1328" t="s">
        <v>5725</v>
      </c>
      <c r="H1328" t="s">
        <v>5726</v>
      </c>
      <c r="I1328" t="s">
        <v>2908</v>
      </c>
      <c r="J1328">
        <v>155.9</v>
      </c>
      <c r="L1328" t="s">
        <v>20</v>
      </c>
      <c r="M1328" t="s">
        <v>5727</v>
      </c>
    </row>
    <row r="1329" spans="1:13" x14ac:dyDescent="0.25">
      <c r="A1329">
        <v>6422657</v>
      </c>
      <c r="B1329" t="s">
        <v>5728</v>
      </c>
      <c r="C1329" t="str">
        <f>"9783319912226"</f>
        <v>9783319912226</v>
      </c>
      <c r="D1329" t="str">
        <f>"9783319912233"</f>
        <v>9783319912233</v>
      </c>
      <c r="E1329" t="s">
        <v>2905</v>
      </c>
      <c r="F1329" s="1">
        <v>43384</v>
      </c>
      <c r="G1329" t="s">
        <v>5729</v>
      </c>
      <c r="H1329" t="s">
        <v>2614</v>
      </c>
      <c r="I1329" t="s">
        <v>4931</v>
      </c>
      <c r="L1329" t="s">
        <v>20</v>
      </c>
      <c r="M1329" t="s">
        <v>5730</v>
      </c>
    </row>
    <row r="1330" spans="1:13" x14ac:dyDescent="0.25">
      <c r="A1330">
        <v>6422658</v>
      </c>
      <c r="B1330" t="s">
        <v>5731</v>
      </c>
      <c r="C1330" t="str">
        <f>"9783658215293"</f>
        <v>9783658215293</v>
      </c>
      <c r="D1330" t="str">
        <f>"9783658215309"</f>
        <v>9783658215309</v>
      </c>
      <c r="E1330" t="s">
        <v>4472</v>
      </c>
      <c r="F1330" s="1">
        <v>43199</v>
      </c>
      <c r="G1330" t="s">
        <v>5732</v>
      </c>
      <c r="H1330" t="s">
        <v>64</v>
      </c>
      <c r="I1330" t="s">
        <v>5512</v>
      </c>
      <c r="L1330" t="s">
        <v>291</v>
      </c>
      <c r="M1330" t="s">
        <v>5733</v>
      </c>
    </row>
    <row r="1331" spans="1:13" x14ac:dyDescent="0.25">
      <c r="A1331">
        <v>6422659</v>
      </c>
      <c r="B1331" t="s">
        <v>5734</v>
      </c>
      <c r="C1331" t="str">
        <f>"9783658133467"</f>
        <v>9783658133467</v>
      </c>
      <c r="D1331" t="str">
        <f>"9783658133474"</f>
        <v>9783658133474</v>
      </c>
      <c r="E1331" t="s">
        <v>4472</v>
      </c>
      <c r="F1331" s="1">
        <v>42590</v>
      </c>
      <c r="G1331" t="s">
        <v>5735</v>
      </c>
      <c r="H1331" t="s">
        <v>64</v>
      </c>
      <c r="I1331" t="s">
        <v>2908</v>
      </c>
      <c r="L1331" t="s">
        <v>291</v>
      </c>
      <c r="M1331" t="s">
        <v>5736</v>
      </c>
    </row>
    <row r="1332" spans="1:13" x14ac:dyDescent="0.25">
      <c r="A1332">
        <v>6422660</v>
      </c>
      <c r="B1332" t="s">
        <v>5737</v>
      </c>
      <c r="C1332" t="str">
        <f>"9783319464985"</f>
        <v>9783319464985</v>
      </c>
      <c r="D1332" t="str">
        <f>"9783319464992"</f>
        <v>9783319464992</v>
      </c>
      <c r="E1332" t="s">
        <v>2905</v>
      </c>
      <c r="F1332" s="1">
        <v>42835</v>
      </c>
      <c r="G1332" t="s">
        <v>5738</v>
      </c>
      <c r="H1332" t="s">
        <v>64</v>
      </c>
      <c r="I1332" t="s">
        <v>4661</v>
      </c>
      <c r="L1332" t="s">
        <v>20</v>
      </c>
      <c r="M1332" t="s">
        <v>5739</v>
      </c>
    </row>
    <row r="1333" spans="1:13" x14ac:dyDescent="0.25">
      <c r="A1333">
        <v>6422661</v>
      </c>
      <c r="B1333" t="s">
        <v>5740</v>
      </c>
      <c r="C1333" t="str">
        <f>"9789811071188"</f>
        <v>9789811071188</v>
      </c>
      <c r="D1333" t="str">
        <f>"9789811071195"</f>
        <v>9789811071195</v>
      </c>
      <c r="E1333" t="s">
        <v>4099</v>
      </c>
      <c r="F1333" s="1">
        <v>43131</v>
      </c>
      <c r="G1333" t="s">
        <v>5741</v>
      </c>
      <c r="H1333" t="s">
        <v>64</v>
      </c>
      <c r="I1333" t="s">
        <v>5742</v>
      </c>
      <c r="J1333">
        <v>361.70949999999999</v>
      </c>
      <c r="L1333" t="s">
        <v>20</v>
      </c>
      <c r="M1333" t="s">
        <v>5743</v>
      </c>
    </row>
    <row r="1334" spans="1:13" x14ac:dyDescent="0.25">
      <c r="A1334">
        <v>6422662</v>
      </c>
      <c r="B1334" t="s">
        <v>5744</v>
      </c>
      <c r="C1334" t="str">
        <f>"9783642212765"</f>
        <v>9783642212765</v>
      </c>
      <c r="D1334" t="str">
        <f>"9783642212772"</f>
        <v>9783642212772</v>
      </c>
      <c r="E1334" t="s">
        <v>4540</v>
      </c>
      <c r="F1334" s="1">
        <v>40807</v>
      </c>
      <c r="G1334" t="s">
        <v>5745</v>
      </c>
      <c r="H1334" t="s">
        <v>41</v>
      </c>
      <c r="I1334" t="s">
        <v>5746</v>
      </c>
      <c r="J1334">
        <v>338.47004678000002</v>
      </c>
      <c r="L1334" t="s">
        <v>20</v>
      </c>
      <c r="M1334" t="s">
        <v>5747</v>
      </c>
    </row>
    <row r="1335" spans="1:13" x14ac:dyDescent="0.25">
      <c r="A1335">
        <v>6422663</v>
      </c>
      <c r="B1335" t="s">
        <v>5748</v>
      </c>
      <c r="C1335" t="str">
        <f>"9784431543275"</f>
        <v>9784431543275</v>
      </c>
      <c r="D1335" t="str">
        <f>"9784431543282"</f>
        <v>9784431543282</v>
      </c>
      <c r="E1335" t="s">
        <v>4510</v>
      </c>
      <c r="F1335" s="1">
        <v>41361</v>
      </c>
      <c r="G1335" t="s">
        <v>5749</v>
      </c>
      <c r="H1335" t="s">
        <v>2614</v>
      </c>
      <c r="I1335" t="s">
        <v>5750</v>
      </c>
      <c r="L1335" t="s">
        <v>20</v>
      </c>
      <c r="M1335" t="s">
        <v>5751</v>
      </c>
    </row>
    <row r="1336" spans="1:13" x14ac:dyDescent="0.25">
      <c r="A1336">
        <v>6422664</v>
      </c>
      <c r="B1336" t="s">
        <v>5752</v>
      </c>
      <c r="C1336" t="str">
        <f>"9783319398884"</f>
        <v>9783319398884</v>
      </c>
      <c r="D1336" t="str">
        <f>"9783319398891"</f>
        <v>9783319398891</v>
      </c>
      <c r="E1336" t="s">
        <v>2905</v>
      </c>
      <c r="F1336" s="1">
        <v>42878</v>
      </c>
      <c r="G1336" t="s">
        <v>5753</v>
      </c>
      <c r="H1336" t="s">
        <v>2623</v>
      </c>
      <c r="I1336" t="s">
        <v>5754</v>
      </c>
      <c r="L1336" t="s">
        <v>20</v>
      </c>
      <c r="M1336" t="s">
        <v>5755</v>
      </c>
    </row>
    <row r="1337" spans="1:13" x14ac:dyDescent="0.25">
      <c r="A1337">
        <v>6422665</v>
      </c>
      <c r="B1337" t="s">
        <v>5756</v>
      </c>
      <c r="C1337" t="str">
        <f>"9783319953922"</f>
        <v>9783319953922</v>
      </c>
      <c r="D1337" t="str">
        <f>"9783319953939"</f>
        <v>9783319953939</v>
      </c>
      <c r="E1337" t="s">
        <v>2905</v>
      </c>
      <c r="F1337" s="1">
        <v>43349</v>
      </c>
      <c r="G1337" t="s">
        <v>5757</v>
      </c>
      <c r="H1337" t="s">
        <v>363</v>
      </c>
      <c r="I1337" t="s">
        <v>4507</v>
      </c>
      <c r="L1337" t="s">
        <v>20</v>
      </c>
      <c r="M1337" t="s">
        <v>5758</v>
      </c>
    </row>
    <row r="1338" spans="1:13" x14ac:dyDescent="0.25">
      <c r="A1338">
        <v>6422666</v>
      </c>
      <c r="B1338" t="s">
        <v>5759</v>
      </c>
      <c r="C1338" t="str">
        <f>"9783658100933"</f>
        <v>9783658100933</v>
      </c>
      <c r="D1338" t="str">
        <f>"9783658100940"</f>
        <v>9783658100940</v>
      </c>
      <c r="E1338" t="s">
        <v>4472</v>
      </c>
      <c r="F1338" s="1">
        <v>42227</v>
      </c>
      <c r="G1338" t="s">
        <v>5760</v>
      </c>
      <c r="H1338" t="s">
        <v>363</v>
      </c>
      <c r="I1338" t="s">
        <v>5090</v>
      </c>
      <c r="L1338" t="s">
        <v>291</v>
      </c>
      <c r="M1338" t="s">
        <v>5761</v>
      </c>
    </row>
    <row r="1339" spans="1:13" x14ac:dyDescent="0.25">
      <c r="A1339">
        <v>6422667</v>
      </c>
      <c r="B1339" t="s">
        <v>5762</v>
      </c>
      <c r="C1339" t="str">
        <f>"9783319215501"</f>
        <v>9783319215501</v>
      </c>
      <c r="D1339" t="str">
        <f>"9783319215518"</f>
        <v>9783319215518</v>
      </c>
      <c r="E1339" t="s">
        <v>2905</v>
      </c>
      <c r="F1339" s="1">
        <v>42472</v>
      </c>
      <c r="G1339" t="s">
        <v>5763</v>
      </c>
      <c r="H1339" t="s">
        <v>64</v>
      </c>
      <c r="I1339" t="s">
        <v>5294</v>
      </c>
      <c r="J1339">
        <v>307.76</v>
      </c>
      <c r="L1339" t="s">
        <v>20</v>
      </c>
      <c r="M1339" t="s">
        <v>5764</v>
      </c>
    </row>
    <row r="1340" spans="1:13" x14ac:dyDescent="0.25">
      <c r="A1340">
        <v>6422668</v>
      </c>
      <c r="B1340" t="s">
        <v>5765</v>
      </c>
      <c r="C1340" t="str">
        <f>"9783319746951"</f>
        <v>9783319746951</v>
      </c>
      <c r="D1340" t="str">
        <f>"9783319746968"</f>
        <v>9783319746968</v>
      </c>
      <c r="E1340" t="s">
        <v>2905</v>
      </c>
      <c r="F1340" s="1">
        <v>43217</v>
      </c>
      <c r="G1340" t="s">
        <v>5766</v>
      </c>
      <c r="H1340" t="s">
        <v>30</v>
      </c>
      <c r="I1340" t="s">
        <v>4676</v>
      </c>
      <c r="L1340" t="s">
        <v>20</v>
      </c>
      <c r="M1340" t="s">
        <v>5767</v>
      </c>
    </row>
    <row r="1341" spans="1:13" x14ac:dyDescent="0.25">
      <c r="A1341">
        <v>6422669</v>
      </c>
      <c r="B1341" t="s">
        <v>5768</v>
      </c>
      <c r="C1341" t="str">
        <f>"9781430261360"</f>
        <v>9781430261360</v>
      </c>
      <c r="D1341" t="str">
        <f>"9781430261377"</f>
        <v>9781430261377</v>
      </c>
      <c r="E1341" t="s">
        <v>5036</v>
      </c>
      <c r="F1341" s="1">
        <v>41425</v>
      </c>
      <c r="G1341" t="s">
        <v>5769</v>
      </c>
      <c r="H1341" t="s">
        <v>712</v>
      </c>
      <c r="I1341" t="s">
        <v>5770</v>
      </c>
      <c r="L1341" t="s">
        <v>20</v>
      </c>
      <c r="M1341" t="s">
        <v>5771</v>
      </c>
    </row>
    <row r="1342" spans="1:13" x14ac:dyDescent="0.25">
      <c r="A1342">
        <v>6422670</v>
      </c>
      <c r="B1342" t="s">
        <v>5772</v>
      </c>
      <c r="C1342" t="str">
        <f>"9783319270050"</f>
        <v>9783319270050</v>
      </c>
      <c r="D1342" t="str">
        <f>"9783319270067"</f>
        <v>9783319270067</v>
      </c>
      <c r="E1342" t="s">
        <v>2905</v>
      </c>
      <c r="F1342" s="1">
        <v>42461</v>
      </c>
      <c r="G1342" t="s">
        <v>5773</v>
      </c>
      <c r="H1342" t="s">
        <v>83</v>
      </c>
      <c r="I1342" t="s">
        <v>4749</v>
      </c>
      <c r="J1342">
        <v>363.70948499999997</v>
      </c>
      <c r="L1342" t="s">
        <v>20</v>
      </c>
      <c r="M1342" t="s">
        <v>5774</v>
      </c>
    </row>
    <row r="1343" spans="1:13" x14ac:dyDescent="0.25">
      <c r="A1343">
        <v>6422671</v>
      </c>
      <c r="B1343" t="s">
        <v>5775</v>
      </c>
      <c r="C1343" t="str">
        <f>"9783319444291"</f>
        <v>9783319444291</v>
      </c>
      <c r="D1343" t="str">
        <f>"9783319444314"</f>
        <v>9783319444314</v>
      </c>
      <c r="E1343" t="s">
        <v>2905</v>
      </c>
      <c r="F1343" s="1">
        <v>42797</v>
      </c>
      <c r="G1343" t="s">
        <v>5776</v>
      </c>
      <c r="H1343" t="s">
        <v>5777</v>
      </c>
      <c r="I1343" t="s">
        <v>5778</v>
      </c>
      <c r="J1343">
        <v>522</v>
      </c>
      <c r="L1343" t="s">
        <v>20</v>
      </c>
      <c r="M1343" t="s">
        <v>5779</v>
      </c>
    </row>
    <row r="1344" spans="1:13" x14ac:dyDescent="0.25">
      <c r="A1344">
        <v>6422672</v>
      </c>
      <c r="B1344" t="s">
        <v>5780</v>
      </c>
      <c r="C1344" t="str">
        <f>"9780230103900"</f>
        <v>9780230103900</v>
      </c>
      <c r="D1344" t="str">
        <f>"9780230109773"</f>
        <v>9780230109773</v>
      </c>
      <c r="E1344" t="s">
        <v>3313</v>
      </c>
      <c r="F1344" s="1">
        <v>40408</v>
      </c>
      <c r="G1344" t="s">
        <v>5781</v>
      </c>
      <c r="H1344" t="s">
        <v>70</v>
      </c>
      <c r="I1344" t="s">
        <v>5782</v>
      </c>
      <c r="L1344" t="s">
        <v>20</v>
      </c>
      <c r="M1344" t="s">
        <v>5783</v>
      </c>
    </row>
    <row r="1345" spans="1:13" x14ac:dyDescent="0.25">
      <c r="A1345">
        <v>6422673</v>
      </c>
      <c r="B1345" t="s">
        <v>5784</v>
      </c>
      <c r="C1345" t="str">
        <f>"9783319708140"</f>
        <v>9783319708140</v>
      </c>
      <c r="D1345" t="str">
        <f>"9783319708157"</f>
        <v>9783319708157</v>
      </c>
      <c r="E1345" t="s">
        <v>2905</v>
      </c>
      <c r="F1345" s="1">
        <v>43153</v>
      </c>
      <c r="G1345" t="s">
        <v>5785</v>
      </c>
      <c r="H1345" t="s">
        <v>1056</v>
      </c>
      <c r="I1345" t="s">
        <v>5786</v>
      </c>
      <c r="L1345" t="s">
        <v>20</v>
      </c>
      <c r="M1345" t="s">
        <v>5787</v>
      </c>
    </row>
    <row r="1346" spans="1:13" x14ac:dyDescent="0.25">
      <c r="A1346">
        <v>6422674</v>
      </c>
      <c r="B1346" t="s">
        <v>5788</v>
      </c>
      <c r="C1346" t="str">
        <f>"9781484200711"</f>
        <v>9781484200711</v>
      </c>
      <c r="D1346" t="str">
        <f>"9781484200704"</f>
        <v>9781484200704</v>
      </c>
      <c r="E1346" t="s">
        <v>5036</v>
      </c>
      <c r="F1346" s="1">
        <v>42031</v>
      </c>
      <c r="G1346" t="s">
        <v>5789</v>
      </c>
      <c r="H1346" t="s">
        <v>4898</v>
      </c>
      <c r="I1346" t="s">
        <v>5407</v>
      </c>
      <c r="J1346">
        <v>5.3</v>
      </c>
      <c r="L1346" t="s">
        <v>20</v>
      </c>
      <c r="M1346" t="s">
        <v>5790</v>
      </c>
    </row>
    <row r="1347" spans="1:13" x14ac:dyDescent="0.25">
      <c r="A1347">
        <v>6422675</v>
      </c>
      <c r="B1347" t="s">
        <v>5791</v>
      </c>
      <c r="C1347" t="str">
        <f>"9783662589342"</f>
        <v>9783662589342</v>
      </c>
      <c r="D1347" t="str">
        <f>"9783662589359"</f>
        <v>9783662589359</v>
      </c>
      <c r="E1347" t="s">
        <v>4540</v>
      </c>
      <c r="F1347" s="1">
        <v>43682</v>
      </c>
      <c r="G1347" t="s">
        <v>4559</v>
      </c>
      <c r="H1347" t="s">
        <v>5792</v>
      </c>
      <c r="I1347" t="s">
        <v>5793</v>
      </c>
      <c r="L1347" t="s">
        <v>291</v>
      </c>
      <c r="M1347" t="s">
        <v>5794</v>
      </c>
    </row>
    <row r="1348" spans="1:13" x14ac:dyDescent="0.25">
      <c r="A1348">
        <v>6422676</v>
      </c>
      <c r="B1348" t="s">
        <v>5795</v>
      </c>
      <c r="C1348" t="str">
        <f>"9783658126438"</f>
        <v>9783658126438</v>
      </c>
      <c r="D1348" t="str">
        <f>"9783658126445"</f>
        <v>9783658126445</v>
      </c>
      <c r="E1348" t="s">
        <v>4472</v>
      </c>
      <c r="F1348" s="1">
        <v>42691</v>
      </c>
      <c r="G1348" t="s">
        <v>5796</v>
      </c>
      <c r="H1348" t="s">
        <v>64</v>
      </c>
      <c r="I1348" t="s">
        <v>5264</v>
      </c>
      <c r="L1348" t="s">
        <v>291</v>
      </c>
      <c r="M1348" t="s">
        <v>5797</v>
      </c>
    </row>
    <row r="1349" spans="1:13" x14ac:dyDescent="0.25">
      <c r="A1349">
        <v>6422677</v>
      </c>
      <c r="B1349" t="s">
        <v>5798</v>
      </c>
      <c r="C1349" t="str">
        <f>"9789811061288"</f>
        <v>9789811061288</v>
      </c>
      <c r="D1349" t="str">
        <f>"9789811061295"</f>
        <v>9789811061295</v>
      </c>
      <c r="E1349" t="s">
        <v>4099</v>
      </c>
      <c r="F1349" s="1">
        <v>43025</v>
      </c>
      <c r="G1349" t="s">
        <v>5799</v>
      </c>
      <c r="H1349" t="s">
        <v>239</v>
      </c>
      <c r="I1349" t="s">
        <v>5800</v>
      </c>
      <c r="L1349" t="s">
        <v>20</v>
      </c>
      <c r="M1349" t="s">
        <v>5801</v>
      </c>
    </row>
    <row r="1350" spans="1:13" x14ac:dyDescent="0.25">
      <c r="A1350">
        <v>6422678</v>
      </c>
      <c r="B1350" t="s">
        <v>5802</v>
      </c>
      <c r="C1350" t="str">
        <f>"9783319611938"</f>
        <v>9783319611938</v>
      </c>
      <c r="D1350" t="str">
        <f>"9783319611945"</f>
        <v>9783319611945</v>
      </c>
      <c r="E1350" t="s">
        <v>2905</v>
      </c>
      <c r="F1350" s="1">
        <v>43038</v>
      </c>
      <c r="G1350" t="s">
        <v>5803</v>
      </c>
      <c r="H1350" t="s">
        <v>1283</v>
      </c>
      <c r="I1350" t="s">
        <v>5683</v>
      </c>
      <c r="L1350" t="s">
        <v>20</v>
      </c>
      <c r="M1350" t="s">
        <v>5804</v>
      </c>
    </row>
    <row r="1351" spans="1:13" x14ac:dyDescent="0.25">
      <c r="A1351">
        <v>6422679</v>
      </c>
      <c r="B1351" t="s">
        <v>5805</v>
      </c>
      <c r="C1351" t="str">
        <f>"9783319446653"</f>
        <v>9783319446653</v>
      </c>
      <c r="D1351" t="str">
        <f>"9783319446677"</f>
        <v>9783319446677</v>
      </c>
      <c r="E1351" t="s">
        <v>2905</v>
      </c>
      <c r="F1351" s="1">
        <v>42753</v>
      </c>
      <c r="G1351" t="s">
        <v>5806</v>
      </c>
      <c r="H1351" t="s">
        <v>1753</v>
      </c>
      <c r="I1351" t="s">
        <v>4609</v>
      </c>
      <c r="L1351" t="s">
        <v>20</v>
      </c>
      <c r="M1351" t="s">
        <v>5807</v>
      </c>
    </row>
    <row r="1352" spans="1:13" x14ac:dyDescent="0.25">
      <c r="A1352">
        <v>6422680</v>
      </c>
      <c r="B1352" t="s">
        <v>5808</v>
      </c>
      <c r="C1352" t="str">
        <f>"9783319537504"</f>
        <v>9783319537504</v>
      </c>
      <c r="D1352" t="str">
        <f>"9783319560915"</f>
        <v>9783319560915</v>
      </c>
      <c r="E1352" t="s">
        <v>2905</v>
      </c>
      <c r="F1352" s="1">
        <v>42998</v>
      </c>
      <c r="G1352" t="s">
        <v>5809</v>
      </c>
      <c r="H1352" t="s">
        <v>5236</v>
      </c>
      <c r="I1352" t="s">
        <v>5237</v>
      </c>
      <c r="L1352" t="s">
        <v>20</v>
      </c>
      <c r="M1352" t="s">
        <v>5810</v>
      </c>
    </row>
    <row r="1353" spans="1:13" x14ac:dyDescent="0.25">
      <c r="A1353">
        <v>6422681</v>
      </c>
      <c r="B1353" t="s">
        <v>5811</v>
      </c>
      <c r="C1353" t="str">
        <f>"9783319590950"</f>
        <v>9783319590950</v>
      </c>
      <c r="D1353" t="str">
        <f>"9783319590967"</f>
        <v>9783319590967</v>
      </c>
      <c r="E1353" t="s">
        <v>2905</v>
      </c>
      <c r="F1353" s="1">
        <v>42934</v>
      </c>
      <c r="G1353" t="s">
        <v>5812</v>
      </c>
      <c r="H1353" t="s">
        <v>5813</v>
      </c>
      <c r="I1353" t="s">
        <v>5814</v>
      </c>
      <c r="J1353">
        <v>307.12091299999997</v>
      </c>
      <c r="L1353" t="s">
        <v>20</v>
      </c>
      <c r="M1353" t="s">
        <v>5815</v>
      </c>
    </row>
    <row r="1354" spans="1:13" x14ac:dyDescent="0.25">
      <c r="A1354">
        <v>6422682</v>
      </c>
      <c r="B1354" t="s">
        <v>5816</v>
      </c>
      <c r="C1354" t="str">
        <f>"9783658213435"</f>
        <v>9783658213435</v>
      </c>
      <c r="D1354" t="str">
        <f>"9783658213442"</f>
        <v>9783658213442</v>
      </c>
      <c r="E1354" t="s">
        <v>4472</v>
      </c>
      <c r="F1354" s="1">
        <v>43227</v>
      </c>
      <c r="G1354" t="s">
        <v>5817</v>
      </c>
      <c r="H1354" t="s">
        <v>1753</v>
      </c>
      <c r="I1354" t="s">
        <v>5485</v>
      </c>
      <c r="L1354" t="s">
        <v>291</v>
      </c>
      <c r="M1354" t="s">
        <v>5818</v>
      </c>
    </row>
    <row r="1355" spans="1:13" x14ac:dyDescent="0.25">
      <c r="A1355">
        <v>6422684</v>
      </c>
      <c r="B1355" t="s">
        <v>5819</v>
      </c>
      <c r="C1355" t="str">
        <f>"9783642363481"</f>
        <v>9783642363481</v>
      </c>
      <c r="D1355" t="str">
        <f>"9783642363498"</f>
        <v>9783642363498</v>
      </c>
      <c r="E1355" t="s">
        <v>4540</v>
      </c>
      <c r="F1355" s="1">
        <v>41353</v>
      </c>
      <c r="G1355" t="s">
        <v>5820</v>
      </c>
      <c r="H1355" t="s">
        <v>712</v>
      </c>
      <c r="I1355" t="s">
        <v>5821</v>
      </c>
      <c r="L1355" t="s">
        <v>20</v>
      </c>
      <c r="M1355" t="s">
        <v>5822</v>
      </c>
    </row>
    <row r="1356" spans="1:13" x14ac:dyDescent="0.25">
      <c r="A1356">
        <v>6422686</v>
      </c>
      <c r="B1356" t="s">
        <v>5823</v>
      </c>
      <c r="C1356" t="str">
        <f>"9783319398464"</f>
        <v>9783319398464</v>
      </c>
      <c r="D1356" t="str">
        <f>"9783319398471"</f>
        <v>9783319398471</v>
      </c>
      <c r="E1356" t="s">
        <v>2905</v>
      </c>
      <c r="F1356" s="1">
        <v>42591</v>
      </c>
      <c r="G1356" t="s">
        <v>5824</v>
      </c>
      <c r="H1356" t="s">
        <v>363</v>
      </c>
      <c r="I1356" t="s">
        <v>5825</v>
      </c>
      <c r="L1356" t="s">
        <v>20</v>
      </c>
      <c r="M1356" t="s">
        <v>5826</v>
      </c>
    </row>
    <row r="1357" spans="1:13" x14ac:dyDescent="0.25">
      <c r="A1357">
        <v>6422687</v>
      </c>
      <c r="B1357" t="s">
        <v>5827</v>
      </c>
      <c r="C1357" t="str">
        <f>"9783319131344"</f>
        <v>9783319131344</v>
      </c>
      <c r="D1357" t="str">
        <f>"9783319131351"</f>
        <v>9783319131351</v>
      </c>
      <c r="E1357" t="s">
        <v>2905</v>
      </c>
      <c r="F1357" s="1">
        <v>42104</v>
      </c>
      <c r="G1357" t="s">
        <v>5828</v>
      </c>
      <c r="H1357" t="s">
        <v>363</v>
      </c>
      <c r="I1357" t="s">
        <v>4529</v>
      </c>
      <c r="L1357" t="s">
        <v>20</v>
      </c>
      <c r="M1357" t="s">
        <v>5829</v>
      </c>
    </row>
    <row r="1358" spans="1:13" x14ac:dyDescent="0.25">
      <c r="A1358">
        <v>6422688</v>
      </c>
      <c r="B1358" t="s">
        <v>5830</v>
      </c>
      <c r="C1358" t="str">
        <f>"9783319230955"</f>
        <v>9783319230955</v>
      </c>
      <c r="D1358" t="str">
        <f>"9783319230962"</f>
        <v>9783319230962</v>
      </c>
      <c r="E1358" t="s">
        <v>2905</v>
      </c>
      <c r="F1358" s="1">
        <v>42433</v>
      </c>
      <c r="G1358" t="s">
        <v>5831</v>
      </c>
      <c r="H1358" t="s">
        <v>489</v>
      </c>
      <c r="I1358" t="s">
        <v>4676</v>
      </c>
      <c r="J1358">
        <v>305.90691209400001</v>
      </c>
      <c r="L1358" t="s">
        <v>20</v>
      </c>
      <c r="M1358" t="s">
        <v>5832</v>
      </c>
    </row>
    <row r="1359" spans="1:13" x14ac:dyDescent="0.25">
      <c r="A1359">
        <v>6422689</v>
      </c>
      <c r="B1359" t="s">
        <v>5833</v>
      </c>
      <c r="C1359" t="str">
        <f>"9783319162584"</f>
        <v>9783319162584</v>
      </c>
      <c r="D1359" t="str">
        <f>"9783319162591"</f>
        <v>9783319162591</v>
      </c>
      <c r="E1359" t="s">
        <v>2905</v>
      </c>
      <c r="F1359" s="1">
        <v>42164</v>
      </c>
      <c r="G1359" t="s">
        <v>5834</v>
      </c>
      <c r="H1359" t="s">
        <v>1707</v>
      </c>
      <c r="I1359" t="s">
        <v>4691</v>
      </c>
      <c r="L1359" t="s">
        <v>20</v>
      </c>
      <c r="M1359" t="s">
        <v>5835</v>
      </c>
    </row>
    <row r="1360" spans="1:13" x14ac:dyDescent="0.25">
      <c r="A1360">
        <v>6422690</v>
      </c>
      <c r="B1360" t="s">
        <v>5836</v>
      </c>
      <c r="C1360" t="str">
        <f>"9783662468050"</f>
        <v>9783662468050</v>
      </c>
      <c r="D1360" t="str">
        <f>"9783662468067"</f>
        <v>9783662468067</v>
      </c>
      <c r="E1360" t="s">
        <v>4540</v>
      </c>
      <c r="F1360" s="1">
        <v>42305</v>
      </c>
      <c r="G1360" t="s">
        <v>5837</v>
      </c>
      <c r="H1360" t="s">
        <v>1753</v>
      </c>
      <c r="I1360" t="s">
        <v>4474</v>
      </c>
      <c r="L1360" t="s">
        <v>291</v>
      </c>
      <c r="M1360" t="s">
        <v>5838</v>
      </c>
    </row>
    <row r="1361" spans="1:13" x14ac:dyDescent="0.25">
      <c r="A1361">
        <v>6422691</v>
      </c>
      <c r="B1361" t="s">
        <v>5839</v>
      </c>
      <c r="C1361" t="str">
        <f>"9783319389646"</f>
        <v>9783319389646</v>
      </c>
      <c r="D1361" t="str">
        <f>"9783319389653"</f>
        <v>9783319389653</v>
      </c>
      <c r="E1361" t="s">
        <v>2905</v>
      </c>
      <c r="F1361" s="1">
        <v>42671</v>
      </c>
      <c r="G1361" t="s">
        <v>5840</v>
      </c>
      <c r="H1361" t="s">
        <v>5841</v>
      </c>
      <c r="I1361" t="s">
        <v>4084</v>
      </c>
      <c r="J1361">
        <v>373.11020000000002</v>
      </c>
      <c r="L1361" t="s">
        <v>20</v>
      </c>
      <c r="M1361" t="s">
        <v>5842</v>
      </c>
    </row>
    <row r="1362" spans="1:13" x14ac:dyDescent="0.25">
      <c r="A1362">
        <v>6422692</v>
      </c>
      <c r="B1362" t="s">
        <v>5843</v>
      </c>
      <c r="C1362" t="str">
        <f>"9784431543398"</f>
        <v>9784431543398</v>
      </c>
      <c r="D1362" t="str">
        <f>"9784431543404"</f>
        <v>9784431543404</v>
      </c>
      <c r="E1362" t="s">
        <v>4510</v>
      </c>
      <c r="F1362" s="1">
        <v>41374</v>
      </c>
      <c r="G1362" t="s">
        <v>5844</v>
      </c>
      <c r="H1362" t="s">
        <v>83</v>
      </c>
      <c r="I1362" t="s">
        <v>4749</v>
      </c>
      <c r="J1362">
        <v>363.70071152000003</v>
      </c>
      <c r="L1362" t="s">
        <v>20</v>
      </c>
      <c r="M1362" t="s">
        <v>5845</v>
      </c>
    </row>
    <row r="1363" spans="1:13" x14ac:dyDescent="0.25">
      <c r="A1363">
        <v>6422693</v>
      </c>
      <c r="B1363" t="s">
        <v>5846</v>
      </c>
      <c r="C1363" t="str">
        <f>"9783662549810"</f>
        <v>9783662549810</v>
      </c>
      <c r="D1363" t="str">
        <f>"9783662549971"</f>
        <v>9783662549971</v>
      </c>
      <c r="E1363" t="s">
        <v>4540</v>
      </c>
      <c r="F1363" s="1">
        <v>42916</v>
      </c>
      <c r="G1363" t="s">
        <v>5847</v>
      </c>
      <c r="H1363" t="s">
        <v>5094</v>
      </c>
      <c r="I1363" t="s">
        <v>5419</v>
      </c>
      <c r="L1363" t="s">
        <v>291</v>
      </c>
      <c r="M1363" t="s">
        <v>5848</v>
      </c>
    </row>
    <row r="1364" spans="1:13" x14ac:dyDescent="0.25">
      <c r="A1364">
        <v>6422695</v>
      </c>
      <c r="B1364" t="s">
        <v>5849</v>
      </c>
      <c r="C1364" t="str">
        <f>"9783030586409"</f>
        <v>9783030586409</v>
      </c>
      <c r="D1364" t="str">
        <f>"9783030586416"</f>
        <v>9783030586416</v>
      </c>
      <c r="E1364" t="s">
        <v>2905</v>
      </c>
      <c r="F1364" s="1">
        <v>44187</v>
      </c>
      <c r="G1364" t="s">
        <v>5850</v>
      </c>
      <c r="H1364" t="s">
        <v>70</v>
      </c>
      <c r="I1364" t="s">
        <v>5851</v>
      </c>
      <c r="J1364">
        <v>823.70935199999997</v>
      </c>
      <c r="L1364" t="s">
        <v>20</v>
      </c>
      <c r="M1364" t="s">
        <v>5852</v>
      </c>
    </row>
    <row r="1365" spans="1:13" x14ac:dyDescent="0.25">
      <c r="A1365">
        <v>6422696</v>
      </c>
      <c r="B1365" t="s">
        <v>5853</v>
      </c>
      <c r="C1365" t="str">
        <f>"9781493934546"</f>
        <v>9781493934546</v>
      </c>
      <c r="D1365" t="str">
        <f>"9781493934560"</f>
        <v>9781493934560</v>
      </c>
      <c r="E1365" t="s">
        <v>5854</v>
      </c>
      <c r="F1365" s="1">
        <v>42913</v>
      </c>
      <c r="G1365" t="s">
        <v>5855</v>
      </c>
      <c r="H1365" t="s">
        <v>5856</v>
      </c>
      <c r="I1365" t="s">
        <v>4749</v>
      </c>
      <c r="J1365" t="s">
        <v>5857</v>
      </c>
      <c r="L1365" t="s">
        <v>20</v>
      </c>
      <c r="M1365" t="s">
        <v>5858</v>
      </c>
    </row>
    <row r="1366" spans="1:13" x14ac:dyDescent="0.25">
      <c r="A1366">
        <v>6422697</v>
      </c>
      <c r="B1366" t="s">
        <v>5859</v>
      </c>
      <c r="C1366" t="str">
        <f>"9783476051035"</f>
        <v>9783476051035</v>
      </c>
      <c r="D1366" t="str">
        <f>"9783476051042"</f>
        <v>9783476051042</v>
      </c>
      <c r="E1366" t="s">
        <v>5860</v>
      </c>
      <c r="F1366" s="1">
        <v>43854</v>
      </c>
      <c r="G1366" t="s">
        <v>5861</v>
      </c>
      <c r="H1366" t="s">
        <v>70</v>
      </c>
      <c r="I1366" t="s">
        <v>5862</v>
      </c>
      <c r="L1366" t="s">
        <v>291</v>
      </c>
      <c r="M1366" t="s">
        <v>5863</v>
      </c>
    </row>
    <row r="1367" spans="1:13" x14ac:dyDescent="0.25">
      <c r="A1367">
        <v>6422698</v>
      </c>
      <c r="B1367" t="s">
        <v>5864</v>
      </c>
      <c r="C1367" t="str">
        <f>"9781484200773"</f>
        <v>9781484200773</v>
      </c>
      <c r="D1367" t="str">
        <f>"9781484200766"</f>
        <v>9781484200766</v>
      </c>
      <c r="E1367" t="s">
        <v>5036</v>
      </c>
      <c r="F1367" s="1">
        <v>41952</v>
      </c>
      <c r="G1367" t="s">
        <v>5865</v>
      </c>
      <c r="H1367" t="s">
        <v>712</v>
      </c>
      <c r="I1367" t="s">
        <v>5866</v>
      </c>
      <c r="L1367" t="s">
        <v>20</v>
      </c>
      <c r="M1367" t="s">
        <v>5867</v>
      </c>
    </row>
    <row r="1368" spans="1:13" x14ac:dyDescent="0.25">
      <c r="A1368">
        <v>6422699</v>
      </c>
      <c r="B1368" t="s">
        <v>5868</v>
      </c>
      <c r="C1368" t="str">
        <f>"9784431555360"</f>
        <v>9784431555360</v>
      </c>
      <c r="D1368" t="str">
        <f>"9784431555377"</f>
        <v>9784431555377</v>
      </c>
      <c r="E1368" t="s">
        <v>4510</v>
      </c>
      <c r="F1368" s="1">
        <v>42206</v>
      </c>
      <c r="G1368" t="s">
        <v>5869</v>
      </c>
      <c r="H1368" t="s">
        <v>2614</v>
      </c>
      <c r="I1368" t="s">
        <v>5870</v>
      </c>
      <c r="J1368" t="s">
        <v>5871</v>
      </c>
      <c r="L1368" t="s">
        <v>20</v>
      </c>
      <c r="M1368" t="s">
        <v>5872</v>
      </c>
    </row>
    <row r="1369" spans="1:13" x14ac:dyDescent="0.25">
      <c r="A1369">
        <v>6422700</v>
      </c>
      <c r="B1369" t="s">
        <v>5873</v>
      </c>
      <c r="C1369" t="str">
        <f>"9783319778235"</f>
        <v>9783319778235</v>
      </c>
      <c r="D1369" t="str">
        <f>"9783319778242"</f>
        <v>9783319778242</v>
      </c>
      <c r="E1369" t="s">
        <v>2905</v>
      </c>
      <c r="F1369" s="1">
        <v>43216</v>
      </c>
      <c r="G1369" t="s">
        <v>5874</v>
      </c>
      <c r="H1369" t="s">
        <v>30</v>
      </c>
      <c r="I1369" t="s">
        <v>5559</v>
      </c>
      <c r="L1369" t="s">
        <v>20</v>
      </c>
      <c r="M1369" t="s">
        <v>5875</v>
      </c>
    </row>
    <row r="1370" spans="1:13" x14ac:dyDescent="0.25">
      <c r="A1370">
        <v>6422701</v>
      </c>
      <c r="B1370" t="s">
        <v>5876</v>
      </c>
      <c r="C1370" t="str">
        <f>"9781430261308"</f>
        <v>9781430261308</v>
      </c>
      <c r="D1370" t="str">
        <f>"9781430261315"</f>
        <v>9781430261315</v>
      </c>
      <c r="E1370" t="s">
        <v>5036</v>
      </c>
      <c r="F1370" s="1">
        <v>41639</v>
      </c>
      <c r="G1370" t="s">
        <v>5877</v>
      </c>
      <c r="H1370" t="s">
        <v>712</v>
      </c>
      <c r="I1370" t="s">
        <v>5276</v>
      </c>
      <c r="L1370" t="s">
        <v>20</v>
      </c>
      <c r="M1370" t="s">
        <v>5878</v>
      </c>
    </row>
    <row r="1371" spans="1:13" x14ac:dyDescent="0.25">
      <c r="A1371">
        <v>6422702</v>
      </c>
      <c r="B1371" t="s">
        <v>5879</v>
      </c>
      <c r="C1371" t="str">
        <f>"9784431545828"</f>
        <v>9784431545828</v>
      </c>
      <c r="D1371" t="str">
        <f>"9784431545835"</f>
        <v>9784431545835</v>
      </c>
      <c r="E1371" t="s">
        <v>4510</v>
      </c>
      <c r="F1371" s="1">
        <v>41690</v>
      </c>
      <c r="G1371" t="s">
        <v>5880</v>
      </c>
      <c r="H1371" t="s">
        <v>5881</v>
      </c>
      <c r="I1371" t="s">
        <v>5310</v>
      </c>
      <c r="J1371">
        <v>363.17990952116998</v>
      </c>
      <c r="L1371" t="s">
        <v>20</v>
      </c>
      <c r="M1371" t="s">
        <v>5882</v>
      </c>
    </row>
    <row r="1372" spans="1:13" x14ac:dyDescent="0.25">
      <c r="A1372">
        <v>6422703</v>
      </c>
      <c r="B1372" t="s">
        <v>5883</v>
      </c>
      <c r="C1372" t="str">
        <f>"9781430251132"</f>
        <v>9781430251132</v>
      </c>
      <c r="D1372" t="str">
        <f>"9781430251149"</f>
        <v>9781430251149</v>
      </c>
      <c r="E1372" t="s">
        <v>5036</v>
      </c>
      <c r="F1372" s="1">
        <v>41260</v>
      </c>
      <c r="G1372" t="s">
        <v>5884</v>
      </c>
      <c r="H1372" t="s">
        <v>712</v>
      </c>
      <c r="I1372" t="s">
        <v>5272</v>
      </c>
      <c r="J1372">
        <v>5.8</v>
      </c>
      <c r="L1372" t="s">
        <v>20</v>
      </c>
      <c r="M1372" t="s">
        <v>5885</v>
      </c>
    </row>
    <row r="1373" spans="1:13" x14ac:dyDescent="0.25">
      <c r="A1373">
        <v>6422704</v>
      </c>
      <c r="B1373" t="s">
        <v>5886</v>
      </c>
      <c r="C1373" t="str">
        <f>"9783319586878"</f>
        <v>9783319586878</v>
      </c>
      <c r="D1373" t="str">
        <f>"9783319586892"</f>
        <v>9783319586892</v>
      </c>
      <c r="E1373" t="s">
        <v>2905</v>
      </c>
      <c r="F1373" s="1">
        <v>43028</v>
      </c>
      <c r="G1373" t="s">
        <v>5887</v>
      </c>
      <c r="H1373" t="s">
        <v>5888</v>
      </c>
      <c r="I1373" t="s">
        <v>4235</v>
      </c>
      <c r="J1373">
        <v>155.28</v>
      </c>
      <c r="L1373" t="s">
        <v>20</v>
      </c>
      <c r="M1373" t="s">
        <v>5889</v>
      </c>
    </row>
    <row r="1374" spans="1:13" x14ac:dyDescent="0.25">
      <c r="A1374">
        <v>6422705</v>
      </c>
      <c r="B1374" t="s">
        <v>5890</v>
      </c>
      <c r="C1374" t="str">
        <f>"9783319972015"</f>
        <v>9783319972015</v>
      </c>
      <c r="D1374" t="str">
        <f>"9783319972022"</f>
        <v>9783319972022</v>
      </c>
      <c r="E1374" t="s">
        <v>2905</v>
      </c>
      <c r="F1374" s="1">
        <v>43397</v>
      </c>
      <c r="G1374" t="s">
        <v>5891</v>
      </c>
      <c r="H1374" t="s">
        <v>5892</v>
      </c>
      <c r="I1374" t="s">
        <v>5893</v>
      </c>
      <c r="J1374">
        <v>616.89</v>
      </c>
      <c r="L1374" t="s">
        <v>20</v>
      </c>
      <c r="M1374" t="s">
        <v>5894</v>
      </c>
    </row>
    <row r="1375" spans="1:13" x14ac:dyDescent="0.25">
      <c r="A1375">
        <v>6422706</v>
      </c>
      <c r="B1375" t="s">
        <v>5895</v>
      </c>
      <c r="C1375" t="str">
        <f>"9783319295428"</f>
        <v>9783319295428</v>
      </c>
      <c r="D1375" t="str">
        <f>"9783319295442"</f>
        <v>9783319295442</v>
      </c>
      <c r="E1375" t="s">
        <v>2905</v>
      </c>
      <c r="F1375" s="1">
        <v>42500</v>
      </c>
      <c r="G1375" t="s">
        <v>5896</v>
      </c>
      <c r="H1375" t="s">
        <v>4748</v>
      </c>
      <c r="I1375" t="s">
        <v>5396</v>
      </c>
      <c r="J1375">
        <v>363.69</v>
      </c>
      <c r="L1375" t="s">
        <v>20</v>
      </c>
      <c r="M1375" t="s">
        <v>5897</v>
      </c>
    </row>
    <row r="1376" spans="1:13" x14ac:dyDescent="0.25">
      <c r="A1376">
        <v>6422710</v>
      </c>
      <c r="B1376" t="s">
        <v>5898</v>
      </c>
      <c r="C1376" t="str">
        <f>"9783662492031"</f>
        <v>9783662492031</v>
      </c>
      <c r="D1376" t="str">
        <f>"9783662492048"</f>
        <v>9783662492048</v>
      </c>
      <c r="E1376" t="s">
        <v>4540</v>
      </c>
      <c r="F1376" s="1">
        <v>42524</v>
      </c>
      <c r="G1376" t="s">
        <v>5899</v>
      </c>
      <c r="H1376" t="s">
        <v>266</v>
      </c>
      <c r="I1376" t="s">
        <v>5900</v>
      </c>
      <c r="L1376" t="s">
        <v>291</v>
      </c>
      <c r="M1376" t="s">
        <v>5901</v>
      </c>
    </row>
    <row r="1377" spans="1:13" x14ac:dyDescent="0.25">
      <c r="A1377">
        <v>6422712</v>
      </c>
      <c r="B1377" t="s">
        <v>5902</v>
      </c>
      <c r="C1377" t="str">
        <f>"9783319189703"</f>
        <v>9783319189703</v>
      </c>
      <c r="D1377" t="str">
        <f>"9783319189710"</f>
        <v>9783319189710</v>
      </c>
      <c r="E1377" t="s">
        <v>2905</v>
      </c>
      <c r="F1377" s="1">
        <v>42319</v>
      </c>
      <c r="G1377" t="s">
        <v>5903</v>
      </c>
      <c r="H1377" t="s">
        <v>5904</v>
      </c>
      <c r="I1377" t="s">
        <v>5436</v>
      </c>
      <c r="J1377">
        <v>627</v>
      </c>
      <c r="L1377" t="s">
        <v>20</v>
      </c>
      <c r="M1377" t="s">
        <v>5905</v>
      </c>
    </row>
    <row r="1378" spans="1:13" x14ac:dyDescent="0.25">
      <c r="A1378">
        <v>6422713</v>
      </c>
      <c r="B1378" t="s">
        <v>5906</v>
      </c>
      <c r="C1378" t="str">
        <f>"9781430265269"</f>
        <v>9781430265269</v>
      </c>
      <c r="D1378" t="str">
        <f>"9781430265276"</f>
        <v>9781430265276</v>
      </c>
      <c r="E1378" t="s">
        <v>5036</v>
      </c>
      <c r="F1378" s="1">
        <v>41662</v>
      </c>
      <c r="G1378" t="s">
        <v>5907</v>
      </c>
      <c r="H1378" t="s">
        <v>712</v>
      </c>
      <c r="I1378" t="s">
        <v>5908</v>
      </c>
      <c r="L1378" t="s">
        <v>20</v>
      </c>
      <c r="M1378" t="s">
        <v>5909</v>
      </c>
    </row>
    <row r="1379" spans="1:13" x14ac:dyDescent="0.25">
      <c r="A1379">
        <v>6422714</v>
      </c>
      <c r="B1379" t="s">
        <v>5910</v>
      </c>
      <c r="C1379" t="str">
        <f>"9783319652436"</f>
        <v>9783319652436</v>
      </c>
      <c r="D1379" t="str">
        <f>"9783319652443"</f>
        <v>9783319652443</v>
      </c>
      <c r="E1379" t="s">
        <v>2905</v>
      </c>
      <c r="F1379" s="1">
        <v>43126</v>
      </c>
      <c r="G1379" t="s">
        <v>5911</v>
      </c>
      <c r="H1379" t="s">
        <v>1624</v>
      </c>
      <c r="I1379" t="s">
        <v>5268</v>
      </c>
      <c r="J1379">
        <v>362.210941509034</v>
      </c>
      <c r="L1379" t="s">
        <v>20</v>
      </c>
      <c r="M1379" t="s">
        <v>5912</v>
      </c>
    </row>
    <row r="1380" spans="1:13" x14ac:dyDescent="0.25">
      <c r="A1380">
        <v>6422715</v>
      </c>
      <c r="B1380" t="s">
        <v>5913</v>
      </c>
      <c r="C1380" t="str">
        <f>"9783030108212"</f>
        <v>9783030108212</v>
      </c>
      <c r="D1380" t="str">
        <f>"9783030108229"</f>
        <v>9783030108229</v>
      </c>
      <c r="E1380" t="s">
        <v>2905</v>
      </c>
      <c r="F1380" s="1">
        <v>43501</v>
      </c>
      <c r="G1380" t="s">
        <v>5914</v>
      </c>
      <c r="H1380" t="s">
        <v>2614</v>
      </c>
      <c r="I1380" t="s">
        <v>5915</v>
      </c>
      <c r="L1380" t="s">
        <v>20</v>
      </c>
      <c r="M1380" t="s">
        <v>5916</v>
      </c>
    </row>
    <row r="1381" spans="1:13" x14ac:dyDescent="0.25">
      <c r="A1381">
        <v>6422716</v>
      </c>
      <c r="B1381" t="s">
        <v>5917</v>
      </c>
      <c r="C1381" t="str">
        <f>"9783319656380"</f>
        <v>9783319656380</v>
      </c>
      <c r="D1381" t="str">
        <f>"9783319656397"</f>
        <v>9783319656397</v>
      </c>
      <c r="E1381" t="s">
        <v>2905</v>
      </c>
      <c r="F1381" s="1">
        <v>43062</v>
      </c>
      <c r="G1381" t="s">
        <v>5918</v>
      </c>
      <c r="H1381" t="s">
        <v>266</v>
      </c>
      <c r="I1381" t="s">
        <v>5338</v>
      </c>
      <c r="L1381" t="s">
        <v>20</v>
      </c>
      <c r="M1381" t="s">
        <v>5919</v>
      </c>
    </row>
    <row r="1382" spans="1:13" x14ac:dyDescent="0.25">
      <c r="A1382">
        <v>6422717</v>
      </c>
      <c r="B1382" t="s">
        <v>5920</v>
      </c>
      <c r="C1382" t="str">
        <f>"9783662458532"</f>
        <v>9783662458532</v>
      </c>
      <c r="D1382" t="str">
        <f>"9783662458549"</f>
        <v>9783662458549</v>
      </c>
      <c r="E1382" t="s">
        <v>4540</v>
      </c>
      <c r="F1382" s="1">
        <v>42128</v>
      </c>
      <c r="G1382" t="s">
        <v>5417</v>
      </c>
      <c r="H1382" t="s">
        <v>5623</v>
      </c>
      <c r="I1382" t="s">
        <v>5419</v>
      </c>
      <c r="L1382" t="s">
        <v>291</v>
      </c>
      <c r="M1382" t="s">
        <v>5921</v>
      </c>
    </row>
    <row r="1383" spans="1:13" x14ac:dyDescent="0.25">
      <c r="A1383">
        <v>6422718</v>
      </c>
      <c r="B1383" t="s">
        <v>5922</v>
      </c>
      <c r="C1383" t="str">
        <f>"9783319257167"</f>
        <v>9783319257167</v>
      </c>
      <c r="D1383" t="str">
        <f>"9783319257181"</f>
        <v>9783319257181</v>
      </c>
      <c r="E1383" t="s">
        <v>2905</v>
      </c>
      <c r="F1383" s="1">
        <v>42432</v>
      </c>
      <c r="G1383" t="s">
        <v>5923</v>
      </c>
      <c r="H1383" t="s">
        <v>3397</v>
      </c>
      <c r="I1383" t="s">
        <v>4833</v>
      </c>
      <c r="J1383">
        <v>338.16091724</v>
      </c>
      <c r="L1383" t="s">
        <v>20</v>
      </c>
      <c r="M1383" t="s">
        <v>5924</v>
      </c>
    </row>
    <row r="1384" spans="1:13" x14ac:dyDescent="0.25">
      <c r="A1384">
        <v>6422719</v>
      </c>
      <c r="B1384" t="s">
        <v>5925</v>
      </c>
      <c r="C1384" t="str">
        <f>"9789812878250"</f>
        <v>9789812878250</v>
      </c>
      <c r="D1384" t="str">
        <f>"9789812878267"</f>
        <v>9789812878267</v>
      </c>
      <c r="E1384" t="s">
        <v>4099</v>
      </c>
      <c r="F1384" s="1">
        <v>42412</v>
      </c>
      <c r="G1384" t="s">
        <v>5926</v>
      </c>
      <c r="H1384" t="s">
        <v>83</v>
      </c>
      <c r="I1384" t="s">
        <v>4537</v>
      </c>
      <c r="J1384">
        <v>363.73874095000002</v>
      </c>
      <c r="L1384" t="s">
        <v>20</v>
      </c>
      <c r="M1384" t="s">
        <v>5927</v>
      </c>
    </row>
    <row r="1385" spans="1:13" x14ac:dyDescent="0.25">
      <c r="A1385">
        <v>6422720</v>
      </c>
      <c r="B1385" t="s">
        <v>5928</v>
      </c>
      <c r="C1385" t="str">
        <f>"9783476049759"</f>
        <v>9783476049759</v>
      </c>
      <c r="D1385" t="str">
        <f>"9783476049766"</f>
        <v>9783476049766</v>
      </c>
      <c r="E1385" t="s">
        <v>5860</v>
      </c>
      <c r="F1385" s="1">
        <v>43766</v>
      </c>
      <c r="G1385" t="s">
        <v>5929</v>
      </c>
      <c r="H1385" t="s">
        <v>64</v>
      </c>
      <c r="I1385" t="s">
        <v>4661</v>
      </c>
      <c r="L1385" t="s">
        <v>291</v>
      </c>
      <c r="M1385" t="s">
        <v>5930</v>
      </c>
    </row>
    <row r="1386" spans="1:13" x14ac:dyDescent="0.25">
      <c r="A1386">
        <v>6422721</v>
      </c>
      <c r="B1386" t="s">
        <v>5931</v>
      </c>
      <c r="C1386" t="str">
        <f>"9783319457680"</f>
        <v>9783319457680</v>
      </c>
      <c r="D1386" t="str">
        <f>"9783319457697"</f>
        <v>9783319457697</v>
      </c>
      <c r="E1386" t="s">
        <v>2905</v>
      </c>
      <c r="F1386" s="1">
        <v>42740</v>
      </c>
      <c r="G1386" t="s">
        <v>5932</v>
      </c>
      <c r="H1386" t="s">
        <v>30</v>
      </c>
      <c r="I1386" t="s">
        <v>5690</v>
      </c>
      <c r="L1386" t="s">
        <v>20</v>
      </c>
      <c r="M1386" t="s">
        <v>5933</v>
      </c>
    </row>
    <row r="1387" spans="1:13" x14ac:dyDescent="0.25">
      <c r="A1387">
        <v>6422722</v>
      </c>
      <c r="B1387" t="s">
        <v>5934</v>
      </c>
      <c r="C1387" t="str">
        <f>"9781430259299"</f>
        <v>9781430259299</v>
      </c>
      <c r="D1387" t="str">
        <f>"9781430259305"</f>
        <v>9781430259305</v>
      </c>
      <c r="E1387" t="s">
        <v>5036</v>
      </c>
      <c r="F1387" s="1">
        <v>41789</v>
      </c>
      <c r="G1387" t="s">
        <v>5935</v>
      </c>
      <c r="H1387" t="s">
        <v>5936</v>
      </c>
      <c r="I1387" t="s">
        <v>5431</v>
      </c>
      <c r="L1387" t="s">
        <v>20</v>
      </c>
      <c r="M1387" t="s">
        <v>5937</v>
      </c>
    </row>
    <row r="1388" spans="1:13" x14ac:dyDescent="0.25">
      <c r="A1388">
        <v>6422723</v>
      </c>
      <c r="B1388" t="s">
        <v>5938</v>
      </c>
      <c r="C1388" t="str">
        <f>"9783319130231"</f>
        <v>9783319130231</v>
      </c>
      <c r="D1388" t="str">
        <f>"9783319130248"</f>
        <v>9783319130248</v>
      </c>
      <c r="E1388" t="s">
        <v>2905</v>
      </c>
      <c r="F1388" s="1">
        <v>42157</v>
      </c>
      <c r="G1388" t="s">
        <v>5939</v>
      </c>
      <c r="H1388" t="s">
        <v>489</v>
      </c>
      <c r="I1388" t="s">
        <v>4676</v>
      </c>
      <c r="J1388">
        <v>305.89199100000002</v>
      </c>
      <c r="L1388" t="s">
        <v>20</v>
      </c>
      <c r="M1388" t="s">
        <v>5940</v>
      </c>
    </row>
    <row r="1389" spans="1:13" x14ac:dyDescent="0.25">
      <c r="A1389">
        <v>6422724</v>
      </c>
      <c r="B1389" t="s">
        <v>5941</v>
      </c>
      <c r="C1389" t="str">
        <f>"9783662492659"</f>
        <v>9783662492659</v>
      </c>
      <c r="D1389" t="str">
        <f>"9783662492666"</f>
        <v>9783662492666</v>
      </c>
      <c r="E1389" t="s">
        <v>4540</v>
      </c>
      <c r="F1389" s="1">
        <v>43104</v>
      </c>
      <c r="G1389" t="s">
        <v>5942</v>
      </c>
      <c r="H1389" t="s">
        <v>1328</v>
      </c>
      <c r="I1389" t="s">
        <v>5167</v>
      </c>
      <c r="L1389" t="s">
        <v>291</v>
      </c>
      <c r="M1389" t="s">
        <v>5943</v>
      </c>
    </row>
    <row r="1390" spans="1:13" x14ac:dyDescent="0.25">
      <c r="A1390">
        <v>6422725</v>
      </c>
      <c r="B1390" t="s">
        <v>5944</v>
      </c>
      <c r="C1390" t="str">
        <f>"9783319446080"</f>
        <v>9783319446080</v>
      </c>
      <c r="D1390" t="str">
        <f>"9783319446103"</f>
        <v>9783319446103</v>
      </c>
      <c r="E1390" t="s">
        <v>2905</v>
      </c>
      <c r="F1390" s="1">
        <v>42783</v>
      </c>
      <c r="G1390" t="s">
        <v>5945</v>
      </c>
      <c r="H1390" t="s">
        <v>120</v>
      </c>
      <c r="I1390" t="s">
        <v>4676</v>
      </c>
      <c r="J1390">
        <v>305.23086912000002</v>
      </c>
      <c r="L1390" t="s">
        <v>20</v>
      </c>
      <c r="M1390" t="s">
        <v>5946</v>
      </c>
    </row>
    <row r="1391" spans="1:13" x14ac:dyDescent="0.25">
      <c r="A1391">
        <v>6422727</v>
      </c>
      <c r="B1391" t="s">
        <v>5947</v>
      </c>
      <c r="C1391" t="str">
        <f>"9783662557884"</f>
        <v>9783662557884</v>
      </c>
      <c r="D1391" t="str">
        <f>"9783662557969"</f>
        <v>9783662557969</v>
      </c>
      <c r="E1391" t="s">
        <v>4540</v>
      </c>
      <c r="F1391" s="1">
        <v>43131</v>
      </c>
      <c r="G1391" t="s">
        <v>5192</v>
      </c>
      <c r="H1391" t="s">
        <v>4564</v>
      </c>
      <c r="I1391" t="s">
        <v>5454</v>
      </c>
      <c r="L1391" t="s">
        <v>291</v>
      </c>
      <c r="M1391" t="s">
        <v>5948</v>
      </c>
    </row>
    <row r="1392" spans="1:13" x14ac:dyDescent="0.25">
      <c r="A1392">
        <v>6422728</v>
      </c>
      <c r="B1392" t="s">
        <v>5949</v>
      </c>
      <c r="C1392" t="str">
        <f>"9783319446950"</f>
        <v>9783319446950</v>
      </c>
      <c r="D1392" t="str">
        <f>"9783319446967"</f>
        <v>9783319446967</v>
      </c>
      <c r="E1392" t="s">
        <v>2905</v>
      </c>
      <c r="F1392" s="1">
        <v>42698</v>
      </c>
      <c r="G1392" t="s">
        <v>5950</v>
      </c>
      <c r="H1392" t="s">
        <v>766</v>
      </c>
      <c r="I1392" t="s">
        <v>5800</v>
      </c>
      <c r="J1392">
        <v>324.97300000000001</v>
      </c>
      <c r="L1392" t="s">
        <v>20</v>
      </c>
      <c r="M1392" t="s">
        <v>5951</v>
      </c>
    </row>
    <row r="1393" spans="1:13" x14ac:dyDescent="0.25">
      <c r="A1393">
        <v>6422729</v>
      </c>
      <c r="B1393" t="s">
        <v>5952</v>
      </c>
      <c r="C1393" t="str">
        <f>"9789401789585"</f>
        <v>9789401789585</v>
      </c>
      <c r="D1393" t="str">
        <f>"9789401789592"</f>
        <v>9789401789592</v>
      </c>
      <c r="E1393" t="s">
        <v>4612</v>
      </c>
      <c r="F1393" s="1">
        <v>41821</v>
      </c>
      <c r="G1393" t="s">
        <v>5953</v>
      </c>
      <c r="H1393" t="s">
        <v>64</v>
      </c>
      <c r="I1393" t="s">
        <v>2908</v>
      </c>
      <c r="J1393">
        <v>300</v>
      </c>
      <c r="L1393" t="s">
        <v>20</v>
      </c>
      <c r="M1393" t="s">
        <v>5954</v>
      </c>
    </row>
    <row r="1394" spans="1:13" x14ac:dyDescent="0.25">
      <c r="A1394">
        <v>6422730</v>
      </c>
      <c r="B1394" t="s">
        <v>5955</v>
      </c>
      <c r="C1394" t="str">
        <f>"9783658226237"</f>
        <v>9783658226237</v>
      </c>
      <c r="D1394" t="str">
        <f>"9783658226244"</f>
        <v>9783658226244</v>
      </c>
      <c r="E1394" t="s">
        <v>4472</v>
      </c>
      <c r="F1394" s="1">
        <v>43291</v>
      </c>
      <c r="G1394" t="s">
        <v>5956</v>
      </c>
      <c r="H1394" t="s">
        <v>1753</v>
      </c>
      <c r="I1394" t="s">
        <v>4474</v>
      </c>
      <c r="L1394" t="s">
        <v>291</v>
      </c>
      <c r="M1394" t="s">
        <v>5957</v>
      </c>
    </row>
    <row r="1395" spans="1:13" x14ac:dyDescent="0.25">
      <c r="A1395">
        <v>6422731</v>
      </c>
      <c r="B1395" t="s">
        <v>5958</v>
      </c>
      <c r="C1395" t="str">
        <f>"9783319106854"</f>
        <v>9783319106854</v>
      </c>
      <c r="D1395" t="str">
        <f>"9783319126883"</f>
        <v>9783319126883</v>
      </c>
      <c r="E1395" t="s">
        <v>2905</v>
      </c>
      <c r="F1395" s="1">
        <v>42102</v>
      </c>
      <c r="G1395" t="s">
        <v>5959</v>
      </c>
      <c r="H1395" t="s">
        <v>1178</v>
      </c>
      <c r="I1395" t="s">
        <v>4084</v>
      </c>
      <c r="L1395" t="s">
        <v>20</v>
      </c>
      <c r="M1395" t="s">
        <v>5960</v>
      </c>
    </row>
    <row r="1396" spans="1:13" x14ac:dyDescent="0.25">
      <c r="A1396">
        <v>6422732</v>
      </c>
      <c r="B1396" t="s">
        <v>5961</v>
      </c>
      <c r="C1396" t="str">
        <f>"9789811040610"</f>
        <v>9789811040610</v>
      </c>
      <c r="D1396" t="str">
        <f>"9789811040627"</f>
        <v>9789811040627</v>
      </c>
      <c r="E1396" t="s">
        <v>4099</v>
      </c>
      <c r="F1396" s="1">
        <v>42895</v>
      </c>
      <c r="G1396" t="s">
        <v>5962</v>
      </c>
      <c r="H1396" t="s">
        <v>363</v>
      </c>
      <c r="I1396" t="s">
        <v>4529</v>
      </c>
      <c r="L1396" t="s">
        <v>20</v>
      </c>
      <c r="M1396" t="s">
        <v>5963</v>
      </c>
    </row>
    <row r="1397" spans="1:13" x14ac:dyDescent="0.25">
      <c r="A1397">
        <v>6422734</v>
      </c>
      <c r="B1397" t="s">
        <v>5964</v>
      </c>
      <c r="C1397" t="str">
        <f>"9781137505712"</f>
        <v>9781137505712</v>
      </c>
      <c r="D1397" t="str">
        <f>"9781137505729"</f>
        <v>9781137505729</v>
      </c>
      <c r="E1397" t="s">
        <v>4626</v>
      </c>
      <c r="F1397" s="1">
        <v>42375</v>
      </c>
      <c r="G1397" t="s">
        <v>5965</v>
      </c>
      <c r="H1397" t="s">
        <v>5966</v>
      </c>
      <c r="I1397" t="s">
        <v>4807</v>
      </c>
      <c r="J1397">
        <v>333.70979999999997</v>
      </c>
      <c r="L1397" t="s">
        <v>20</v>
      </c>
      <c r="M1397" t="s">
        <v>5967</v>
      </c>
    </row>
    <row r="1398" spans="1:13" x14ac:dyDescent="0.25">
      <c r="A1398">
        <v>6422735</v>
      </c>
      <c r="B1398" t="s">
        <v>5968</v>
      </c>
      <c r="C1398" t="str">
        <f>"9783319947174"</f>
        <v>9783319947174</v>
      </c>
      <c r="D1398" t="str">
        <f>"9783319947181"</f>
        <v>9783319947181</v>
      </c>
      <c r="E1398" t="s">
        <v>2905</v>
      </c>
      <c r="F1398" s="1">
        <v>43384</v>
      </c>
      <c r="G1398" t="s">
        <v>5969</v>
      </c>
      <c r="H1398" t="s">
        <v>64</v>
      </c>
      <c r="I1398" t="s">
        <v>4619</v>
      </c>
      <c r="J1398">
        <v>362.70942000000002</v>
      </c>
      <c r="L1398" t="s">
        <v>20</v>
      </c>
      <c r="M1398" t="s">
        <v>5970</v>
      </c>
    </row>
    <row r="1399" spans="1:13" x14ac:dyDescent="0.25">
      <c r="A1399">
        <v>6422736</v>
      </c>
      <c r="B1399" t="s">
        <v>5971</v>
      </c>
      <c r="C1399" t="str">
        <f>"9783658205393"</f>
        <v>9783658205393</v>
      </c>
      <c r="D1399" t="str">
        <f>"9783658205409"</f>
        <v>9783658205409</v>
      </c>
      <c r="E1399" t="s">
        <v>4472</v>
      </c>
      <c r="F1399" s="1">
        <v>43122</v>
      </c>
      <c r="G1399" t="s">
        <v>5972</v>
      </c>
      <c r="H1399" t="s">
        <v>4180</v>
      </c>
      <c r="I1399" t="s">
        <v>5973</v>
      </c>
      <c r="L1399" t="s">
        <v>20</v>
      </c>
      <c r="M1399" t="s">
        <v>5974</v>
      </c>
    </row>
    <row r="1400" spans="1:13" x14ac:dyDescent="0.25">
      <c r="A1400">
        <v>6422737</v>
      </c>
      <c r="B1400" t="s">
        <v>5975</v>
      </c>
      <c r="C1400" t="str">
        <f>"9783658084622"</f>
        <v>9783658084622</v>
      </c>
      <c r="D1400" t="str">
        <f>"9783658084639"</f>
        <v>9783658084639</v>
      </c>
      <c r="E1400" t="s">
        <v>4472</v>
      </c>
      <c r="F1400" s="1">
        <v>42272</v>
      </c>
      <c r="G1400" t="s">
        <v>5976</v>
      </c>
      <c r="H1400" t="s">
        <v>1753</v>
      </c>
      <c r="I1400" t="s">
        <v>4588</v>
      </c>
      <c r="L1400" t="s">
        <v>20</v>
      </c>
      <c r="M1400" t="s">
        <v>5977</v>
      </c>
    </row>
    <row r="1401" spans="1:13" x14ac:dyDescent="0.25">
      <c r="A1401">
        <v>6422738</v>
      </c>
      <c r="B1401" t="s">
        <v>5978</v>
      </c>
      <c r="C1401" t="str">
        <f>"9783319601915"</f>
        <v>9783319601915</v>
      </c>
      <c r="D1401" t="str">
        <f>"9783319601922"</f>
        <v>9783319601922</v>
      </c>
      <c r="E1401" t="s">
        <v>2905</v>
      </c>
      <c r="F1401" s="1">
        <v>43000</v>
      </c>
      <c r="G1401" t="s">
        <v>5979</v>
      </c>
      <c r="H1401" t="s">
        <v>266</v>
      </c>
      <c r="I1401" t="s">
        <v>4710</v>
      </c>
      <c r="J1401">
        <v>616.80442000000005</v>
      </c>
      <c r="L1401" t="s">
        <v>20</v>
      </c>
      <c r="M1401" t="s">
        <v>5980</v>
      </c>
    </row>
    <row r="1402" spans="1:13" x14ac:dyDescent="0.25">
      <c r="A1402">
        <v>6422739</v>
      </c>
      <c r="B1402" t="s">
        <v>5981</v>
      </c>
      <c r="C1402" t="str">
        <f>"9781430260134"</f>
        <v>9781430260134</v>
      </c>
      <c r="D1402" t="str">
        <f>"9781430260141"</f>
        <v>9781430260141</v>
      </c>
      <c r="E1402" t="s">
        <v>5036</v>
      </c>
      <c r="F1402" s="1">
        <v>41629</v>
      </c>
      <c r="G1402" t="s">
        <v>5982</v>
      </c>
      <c r="H1402" t="s">
        <v>712</v>
      </c>
      <c r="I1402" t="s">
        <v>5908</v>
      </c>
      <c r="L1402" t="s">
        <v>20</v>
      </c>
      <c r="M1402" t="s">
        <v>5983</v>
      </c>
    </row>
    <row r="1403" spans="1:13" x14ac:dyDescent="0.25">
      <c r="A1403">
        <v>6422740</v>
      </c>
      <c r="B1403" t="s">
        <v>5984</v>
      </c>
      <c r="C1403" t="str">
        <f>"9783319316154"</f>
        <v>9783319316154</v>
      </c>
      <c r="D1403" t="str">
        <f>"9783319316161"</f>
        <v>9783319316161</v>
      </c>
      <c r="E1403" t="s">
        <v>2905</v>
      </c>
      <c r="F1403" s="1">
        <v>42585</v>
      </c>
      <c r="G1403" t="s">
        <v>5985</v>
      </c>
      <c r="H1403" t="s">
        <v>1178</v>
      </c>
      <c r="I1403" t="s">
        <v>4084</v>
      </c>
      <c r="J1403">
        <v>510.71</v>
      </c>
      <c r="L1403" t="s">
        <v>20</v>
      </c>
      <c r="M1403" t="s">
        <v>5986</v>
      </c>
    </row>
    <row r="1404" spans="1:13" x14ac:dyDescent="0.25">
      <c r="A1404">
        <v>6422741</v>
      </c>
      <c r="B1404" t="s">
        <v>5987</v>
      </c>
      <c r="C1404" t="str">
        <f>"9783319393568"</f>
        <v>9783319393568</v>
      </c>
      <c r="D1404" t="str">
        <f>"9783319393575"</f>
        <v>9783319393575</v>
      </c>
      <c r="E1404" t="s">
        <v>2905</v>
      </c>
      <c r="F1404" s="1">
        <v>42591</v>
      </c>
      <c r="G1404" t="s">
        <v>5988</v>
      </c>
      <c r="H1404" t="s">
        <v>363</v>
      </c>
      <c r="I1404" t="s">
        <v>4507</v>
      </c>
      <c r="L1404" t="s">
        <v>20</v>
      </c>
      <c r="M1404" t="s">
        <v>5989</v>
      </c>
    </row>
    <row r="1405" spans="1:13" x14ac:dyDescent="0.25">
      <c r="A1405">
        <v>6422742</v>
      </c>
      <c r="B1405" t="s">
        <v>5990</v>
      </c>
      <c r="C1405" t="str">
        <f>"9783319104249"</f>
        <v>9783319104249</v>
      </c>
      <c r="D1405" t="str">
        <f>"9783319104256"</f>
        <v>9783319104256</v>
      </c>
      <c r="E1405" t="s">
        <v>2905</v>
      </c>
      <c r="F1405" s="1">
        <v>42620</v>
      </c>
      <c r="G1405" t="s">
        <v>5991</v>
      </c>
      <c r="H1405" t="s">
        <v>5992</v>
      </c>
      <c r="I1405" t="s">
        <v>4615</v>
      </c>
      <c r="J1405">
        <v>551.52509173199996</v>
      </c>
      <c r="L1405" t="s">
        <v>20</v>
      </c>
      <c r="M1405" t="s">
        <v>5993</v>
      </c>
    </row>
    <row r="1406" spans="1:13" x14ac:dyDescent="0.25">
      <c r="A1406">
        <v>6422743</v>
      </c>
      <c r="B1406" t="s">
        <v>5994</v>
      </c>
      <c r="C1406" t="str">
        <f>"9781137403599"</f>
        <v>9781137403599</v>
      </c>
      <c r="D1406" t="str">
        <f>"9781137403605"</f>
        <v>9781137403605</v>
      </c>
      <c r="E1406" t="s">
        <v>4626</v>
      </c>
      <c r="F1406" s="1">
        <v>41890</v>
      </c>
      <c r="G1406" t="s">
        <v>5995</v>
      </c>
      <c r="H1406" t="s">
        <v>30</v>
      </c>
      <c r="I1406" t="s">
        <v>4734</v>
      </c>
      <c r="L1406" t="s">
        <v>20</v>
      </c>
      <c r="M1406" t="s">
        <v>5996</v>
      </c>
    </row>
    <row r="1407" spans="1:13" x14ac:dyDescent="0.25">
      <c r="A1407">
        <v>6422744</v>
      </c>
      <c r="B1407" t="s">
        <v>5997</v>
      </c>
      <c r="C1407" t="str">
        <f>"9783319394497"</f>
        <v>9783319394497</v>
      </c>
      <c r="D1407" t="str">
        <f>"9783319394503"</f>
        <v>9783319394503</v>
      </c>
      <c r="E1407" t="s">
        <v>2905</v>
      </c>
      <c r="F1407" s="1">
        <v>42543</v>
      </c>
      <c r="G1407" t="s">
        <v>5998</v>
      </c>
      <c r="H1407" t="s">
        <v>1178</v>
      </c>
      <c r="I1407" t="s">
        <v>4084</v>
      </c>
      <c r="L1407" t="s">
        <v>20</v>
      </c>
      <c r="M1407" t="s">
        <v>5999</v>
      </c>
    </row>
    <row r="1408" spans="1:13" x14ac:dyDescent="0.25">
      <c r="A1408">
        <v>6422746</v>
      </c>
      <c r="B1408" t="s">
        <v>6000</v>
      </c>
      <c r="C1408" t="str">
        <f>"9783319254586"</f>
        <v>9783319254586</v>
      </c>
      <c r="D1408" t="str">
        <f>"9783319254609"</f>
        <v>9783319254609</v>
      </c>
      <c r="E1408" t="s">
        <v>2905</v>
      </c>
      <c r="F1408" s="1">
        <v>42359</v>
      </c>
      <c r="G1408" t="s">
        <v>6001</v>
      </c>
      <c r="H1408" t="s">
        <v>266</v>
      </c>
      <c r="I1408" t="s">
        <v>5440</v>
      </c>
      <c r="L1408" t="s">
        <v>20</v>
      </c>
      <c r="M1408" t="s">
        <v>6002</v>
      </c>
    </row>
    <row r="1409" spans="1:13" x14ac:dyDescent="0.25">
      <c r="A1409">
        <v>6422747</v>
      </c>
      <c r="B1409" t="s">
        <v>6003</v>
      </c>
      <c r="C1409" t="str">
        <f>"9789811052682"</f>
        <v>9789811052682</v>
      </c>
      <c r="D1409" t="str">
        <f>"9789811052699"</f>
        <v>9789811052699</v>
      </c>
      <c r="E1409" t="s">
        <v>4099</v>
      </c>
      <c r="F1409" s="1">
        <v>43168</v>
      </c>
      <c r="G1409" t="s">
        <v>6004</v>
      </c>
      <c r="H1409" t="s">
        <v>1283</v>
      </c>
      <c r="I1409" t="s">
        <v>4833</v>
      </c>
      <c r="L1409" t="s">
        <v>20</v>
      </c>
      <c r="M1409" t="s">
        <v>6005</v>
      </c>
    </row>
    <row r="1410" spans="1:13" x14ac:dyDescent="0.25">
      <c r="A1410">
        <v>6422748</v>
      </c>
      <c r="B1410" t="s">
        <v>6006</v>
      </c>
      <c r="C1410" t="str">
        <f>"9783658158972"</f>
        <v>9783658158972</v>
      </c>
      <c r="D1410" t="str">
        <f>"9783658158989"</f>
        <v>9783658158989</v>
      </c>
      <c r="E1410" t="s">
        <v>4472</v>
      </c>
      <c r="F1410" s="1">
        <v>42794</v>
      </c>
      <c r="G1410" t="s">
        <v>6007</v>
      </c>
      <c r="H1410" t="s">
        <v>30</v>
      </c>
      <c r="I1410" t="s">
        <v>4807</v>
      </c>
      <c r="L1410" t="s">
        <v>291</v>
      </c>
      <c r="M1410" t="s">
        <v>6008</v>
      </c>
    </row>
    <row r="1411" spans="1:13" x14ac:dyDescent="0.25">
      <c r="A1411">
        <v>6422749</v>
      </c>
      <c r="B1411" t="s">
        <v>6009</v>
      </c>
      <c r="C1411" t="str">
        <f>"9783319579658"</f>
        <v>9783319579658</v>
      </c>
      <c r="D1411" t="str">
        <f>"9783319579665"</f>
        <v>9783319579665</v>
      </c>
      <c r="E1411" t="s">
        <v>2905</v>
      </c>
      <c r="F1411" s="1">
        <v>42873</v>
      </c>
      <c r="G1411" t="s">
        <v>6010</v>
      </c>
      <c r="H1411" t="s">
        <v>6011</v>
      </c>
      <c r="I1411" t="s">
        <v>5624</v>
      </c>
      <c r="J1411">
        <v>333.79</v>
      </c>
      <c r="L1411" t="s">
        <v>20</v>
      </c>
      <c r="M1411" t="s">
        <v>6012</v>
      </c>
    </row>
    <row r="1412" spans="1:13" x14ac:dyDescent="0.25">
      <c r="A1412">
        <v>6422750</v>
      </c>
      <c r="B1412" t="s">
        <v>6013</v>
      </c>
      <c r="C1412" t="str">
        <f>"9784431545880"</f>
        <v>9784431545880</v>
      </c>
      <c r="D1412" t="str">
        <f>"9784431545897"</f>
        <v>9784431545897</v>
      </c>
      <c r="E1412" t="s">
        <v>4510</v>
      </c>
      <c r="F1412" s="1">
        <v>41690</v>
      </c>
      <c r="G1412" t="s">
        <v>6014</v>
      </c>
      <c r="H1412" t="s">
        <v>2603</v>
      </c>
      <c r="I1412" t="s">
        <v>6015</v>
      </c>
      <c r="J1412">
        <v>571.79999999999995</v>
      </c>
      <c r="L1412" t="s">
        <v>20</v>
      </c>
      <c r="M1412" t="s">
        <v>6016</v>
      </c>
    </row>
    <row r="1413" spans="1:13" x14ac:dyDescent="0.25">
      <c r="A1413">
        <v>6422751</v>
      </c>
      <c r="B1413" t="s">
        <v>6017</v>
      </c>
      <c r="C1413" t="str">
        <f>"9783662564646"</f>
        <v>9783662564646</v>
      </c>
      <c r="D1413" t="str">
        <f>"9783662564653"</f>
        <v>9783662564653</v>
      </c>
      <c r="E1413" t="s">
        <v>4540</v>
      </c>
      <c r="F1413" s="1">
        <v>43199</v>
      </c>
      <c r="G1413" t="s">
        <v>6018</v>
      </c>
      <c r="H1413" t="s">
        <v>266</v>
      </c>
      <c r="I1413" t="s">
        <v>4699</v>
      </c>
      <c r="L1413" t="s">
        <v>20</v>
      </c>
      <c r="M1413" t="s">
        <v>6019</v>
      </c>
    </row>
    <row r="1414" spans="1:13" x14ac:dyDescent="0.25">
      <c r="A1414">
        <v>6422752</v>
      </c>
      <c r="B1414" t="s">
        <v>6020</v>
      </c>
      <c r="C1414" t="str">
        <f>"9783319265889"</f>
        <v>9783319265889</v>
      </c>
      <c r="D1414" t="str">
        <f>"9783319265902"</f>
        <v>9783319265902</v>
      </c>
      <c r="E1414" t="s">
        <v>2905</v>
      </c>
      <c r="F1414" s="1">
        <v>42478</v>
      </c>
      <c r="G1414" t="s">
        <v>6021</v>
      </c>
      <c r="H1414" t="s">
        <v>6022</v>
      </c>
      <c r="I1414" t="s">
        <v>4691</v>
      </c>
      <c r="J1414">
        <v>633.12300000000005</v>
      </c>
      <c r="L1414" t="s">
        <v>20</v>
      </c>
      <c r="M1414" t="s">
        <v>6023</v>
      </c>
    </row>
    <row r="1415" spans="1:13" x14ac:dyDescent="0.25">
      <c r="A1415">
        <v>6422753</v>
      </c>
      <c r="B1415" t="s">
        <v>6024</v>
      </c>
      <c r="C1415" t="str">
        <f>"9783319635545"</f>
        <v>9783319635545</v>
      </c>
      <c r="D1415" t="str">
        <f>"9783319635552"</f>
        <v>9783319635552</v>
      </c>
      <c r="E1415" t="s">
        <v>2905</v>
      </c>
      <c r="F1415" s="1">
        <v>43206</v>
      </c>
      <c r="G1415" t="s">
        <v>6025</v>
      </c>
      <c r="H1415" t="s">
        <v>1178</v>
      </c>
      <c r="I1415" t="s">
        <v>4084</v>
      </c>
      <c r="L1415" t="s">
        <v>20</v>
      </c>
      <c r="M1415" t="s">
        <v>6026</v>
      </c>
    </row>
    <row r="1416" spans="1:13" x14ac:dyDescent="0.25">
      <c r="A1416">
        <v>6422754</v>
      </c>
      <c r="B1416" t="s">
        <v>6027</v>
      </c>
      <c r="C1416" t="str">
        <f>"9783658089641"</f>
        <v>9783658089641</v>
      </c>
      <c r="D1416" t="str">
        <f>"9783658089658"</f>
        <v>9783658089658</v>
      </c>
      <c r="E1416" t="s">
        <v>4472</v>
      </c>
      <c r="F1416" s="1">
        <v>42285</v>
      </c>
      <c r="G1416" t="s">
        <v>6028</v>
      </c>
      <c r="H1416" t="s">
        <v>64</v>
      </c>
      <c r="I1416" t="s">
        <v>6029</v>
      </c>
      <c r="L1416" t="s">
        <v>291</v>
      </c>
      <c r="M1416" t="s">
        <v>6030</v>
      </c>
    </row>
    <row r="1417" spans="1:13" x14ac:dyDescent="0.25">
      <c r="A1417">
        <v>6422755</v>
      </c>
      <c r="B1417" t="s">
        <v>6031</v>
      </c>
      <c r="C1417" t="str">
        <f>"9789812874191"</f>
        <v>9789812874191</v>
      </c>
      <c r="D1417" t="str">
        <f>"9789812874207"</f>
        <v>9789812874207</v>
      </c>
      <c r="E1417" t="s">
        <v>4099</v>
      </c>
      <c r="F1417" s="1">
        <v>42104</v>
      </c>
      <c r="G1417" t="s">
        <v>6032</v>
      </c>
      <c r="H1417" t="s">
        <v>24</v>
      </c>
      <c r="I1417" t="s">
        <v>4753</v>
      </c>
      <c r="J1417">
        <v>362.58094999999997</v>
      </c>
      <c r="L1417" t="s">
        <v>20</v>
      </c>
      <c r="M1417" t="s">
        <v>6033</v>
      </c>
    </row>
    <row r="1418" spans="1:13" x14ac:dyDescent="0.25">
      <c r="A1418">
        <v>6422756</v>
      </c>
      <c r="B1418" t="s">
        <v>6034</v>
      </c>
      <c r="C1418" t="str">
        <f>"9783319405681"</f>
        <v>9783319405681</v>
      </c>
      <c r="D1418" t="str">
        <f>"9783319405698"</f>
        <v>9783319405698</v>
      </c>
      <c r="E1418" t="s">
        <v>2905</v>
      </c>
      <c r="F1418" s="1">
        <v>42586</v>
      </c>
      <c r="G1418" t="s">
        <v>6035</v>
      </c>
      <c r="H1418" t="s">
        <v>1178</v>
      </c>
      <c r="I1418" t="s">
        <v>4084</v>
      </c>
      <c r="J1418">
        <v>510.71</v>
      </c>
      <c r="L1418" t="s">
        <v>20</v>
      </c>
      <c r="M1418" t="s">
        <v>6036</v>
      </c>
    </row>
    <row r="1419" spans="1:13" x14ac:dyDescent="0.25">
      <c r="A1419">
        <v>6422757</v>
      </c>
      <c r="B1419" t="s">
        <v>6037</v>
      </c>
      <c r="C1419" t="str">
        <f>"9783658226978"</f>
        <v>9783658226978</v>
      </c>
      <c r="D1419" t="str">
        <f>"9783658226985"</f>
        <v>9783658226985</v>
      </c>
      <c r="E1419" t="s">
        <v>4472</v>
      </c>
      <c r="F1419" s="1">
        <v>43439</v>
      </c>
      <c r="G1419" t="s">
        <v>6038</v>
      </c>
      <c r="H1419" t="s">
        <v>1753</v>
      </c>
      <c r="I1419" t="s">
        <v>6039</v>
      </c>
      <c r="L1419" t="s">
        <v>291</v>
      </c>
      <c r="M1419" t="s">
        <v>6040</v>
      </c>
    </row>
    <row r="1420" spans="1:13" x14ac:dyDescent="0.25">
      <c r="A1420">
        <v>6422758</v>
      </c>
      <c r="B1420" t="s">
        <v>6041</v>
      </c>
      <c r="C1420" t="str">
        <f>"9783319990965"</f>
        <v>9783319990965</v>
      </c>
      <c r="D1420" t="str">
        <f>"9783319990972"</f>
        <v>9783319990972</v>
      </c>
      <c r="E1420" t="s">
        <v>2905</v>
      </c>
      <c r="F1420" s="1">
        <v>43355</v>
      </c>
      <c r="G1420" t="s">
        <v>6042</v>
      </c>
      <c r="H1420" t="s">
        <v>6043</v>
      </c>
      <c r="I1420" t="s">
        <v>6044</v>
      </c>
      <c r="J1420">
        <v>333.79</v>
      </c>
      <c r="L1420" t="s">
        <v>20</v>
      </c>
      <c r="M1420" t="s">
        <v>6045</v>
      </c>
    </row>
    <row r="1421" spans="1:13" x14ac:dyDescent="0.25">
      <c r="A1421">
        <v>6422759</v>
      </c>
      <c r="B1421" t="s">
        <v>6046</v>
      </c>
      <c r="C1421" t="str">
        <f>"9783319786919"</f>
        <v>9783319786919</v>
      </c>
      <c r="D1421" t="str">
        <f>"9783319786926"</f>
        <v>9783319786926</v>
      </c>
      <c r="E1421" t="s">
        <v>2905</v>
      </c>
      <c r="F1421" s="1">
        <v>43224</v>
      </c>
      <c r="G1421" t="s">
        <v>6047</v>
      </c>
      <c r="H1421" t="s">
        <v>363</v>
      </c>
      <c r="I1421" t="s">
        <v>4235</v>
      </c>
      <c r="L1421" t="s">
        <v>20</v>
      </c>
      <c r="M1421" t="s">
        <v>6048</v>
      </c>
    </row>
    <row r="1422" spans="1:13" x14ac:dyDescent="0.25">
      <c r="A1422">
        <v>6422760</v>
      </c>
      <c r="B1422" t="s">
        <v>6049</v>
      </c>
      <c r="C1422" t="str">
        <f>"9784431558262"</f>
        <v>9784431558262</v>
      </c>
      <c r="D1422" t="str">
        <f>"9784431558286"</f>
        <v>9784431558286</v>
      </c>
      <c r="E1422" t="s">
        <v>4510</v>
      </c>
      <c r="F1422" s="1">
        <v>42447</v>
      </c>
      <c r="G1422" t="s">
        <v>5749</v>
      </c>
      <c r="H1422" t="s">
        <v>6050</v>
      </c>
      <c r="I1422" t="s">
        <v>5750</v>
      </c>
      <c r="J1422">
        <v>363.17990952000002</v>
      </c>
      <c r="L1422" t="s">
        <v>20</v>
      </c>
      <c r="M1422" t="s">
        <v>6051</v>
      </c>
    </row>
    <row r="1423" spans="1:13" x14ac:dyDescent="0.25">
      <c r="A1423">
        <v>6422761</v>
      </c>
      <c r="B1423" t="s">
        <v>6052</v>
      </c>
      <c r="C1423" t="str">
        <f>"9781430261483"</f>
        <v>9781430261483</v>
      </c>
      <c r="D1423" t="str">
        <f>"9781430261490"</f>
        <v>9781430261490</v>
      </c>
      <c r="E1423" t="s">
        <v>5036</v>
      </c>
      <c r="F1423" s="1">
        <v>41600</v>
      </c>
      <c r="G1423" t="s">
        <v>6053</v>
      </c>
      <c r="H1423" t="s">
        <v>712</v>
      </c>
      <c r="I1423" t="s">
        <v>5272</v>
      </c>
      <c r="L1423" t="s">
        <v>20</v>
      </c>
      <c r="M1423" t="s">
        <v>6054</v>
      </c>
    </row>
    <row r="1424" spans="1:13" x14ac:dyDescent="0.25">
      <c r="A1424">
        <v>6422762</v>
      </c>
      <c r="B1424" t="s">
        <v>6055</v>
      </c>
      <c r="C1424" t="str">
        <f>""</f>
        <v/>
      </c>
      <c r="D1424" t="str">
        <f>"9783662562703"</f>
        <v>9783662562703</v>
      </c>
      <c r="E1424" t="s">
        <v>4540</v>
      </c>
      <c r="F1424" s="1">
        <v>43069</v>
      </c>
      <c r="G1424" t="s">
        <v>6056</v>
      </c>
      <c r="H1424" t="s">
        <v>851</v>
      </c>
      <c r="I1424" t="s">
        <v>6057</v>
      </c>
      <c r="L1424" t="s">
        <v>291</v>
      </c>
      <c r="M1424" t="s">
        <v>6058</v>
      </c>
    </row>
    <row r="1425" spans="1:13" x14ac:dyDescent="0.25">
      <c r="A1425">
        <v>6422763</v>
      </c>
      <c r="B1425" t="s">
        <v>6059</v>
      </c>
      <c r="C1425" t="str">
        <f>"9783658269593"</f>
        <v>9783658269593</v>
      </c>
      <c r="D1425" t="str">
        <f>"9783658269609"</f>
        <v>9783658269609</v>
      </c>
      <c r="E1425" t="s">
        <v>4472</v>
      </c>
      <c r="F1425" s="1">
        <v>43775</v>
      </c>
      <c r="G1425" t="s">
        <v>6060</v>
      </c>
      <c r="H1425" t="s">
        <v>1753</v>
      </c>
      <c r="I1425" t="s">
        <v>4474</v>
      </c>
      <c r="L1425" t="s">
        <v>291</v>
      </c>
      <c r="M1425" t="s">
        <v>6061</v>
      </c>
    </row>
    <row r="1426" spans="1:13" x14ac:dyDescent="0.25">
      <c r="A1426">
        <v>6422764</v>
      </c>
      <c r="B1426" t="s">
        <v>6062</v>
      </c>
      <c r="C1426" t="str">
        <f>"9783658125325"</f>
        <v>9783658125325</v>
      </c>
      <c r="D1426" t="str">
        <f>"9783658125332"</f>
        <v>9783658125332</v>
      </c>
      <c r="E1426" t="s">
        <v>4472</v>
      </c>
      <c r="F1426" s="1">
        <v>42719</v>
      </c>
      <c r="G1426" t="s">
        <v>6063</v>
      </c>
      <c r="H1426" t="s">
        <v>64</v>
      </c>
      <c r="I1426" t="s">
        <v>5294</v>
      </c>
      <c r="L1426" t="s">
        <v>291</v>
      </c>
      <c r="M1426" t="s">
        <v>6064</v>
      </c>
    </row>
    <row r="1427" spans="1:13" x14ac:dyDescent="0.25">
      <c r="A1427">
        <v>6422765</v>
      </c>
      <c r="B1427" t="s">
        <v>6065</v>
      </c>
      <c r="C1427" t="str">
        <f>"9783319137636"</f>
        <v>9783319137636</v>
      </c>
      <c r="D1427" t="str">
        <f>"9783319137643"</f>
        <v>9783319137643</v>
      </c>
      <c r="E1427" t="s">
        <v>2905</v>
      </c>
      <c r="F1427" s="1">
        <v>42030</v>
      </c>
      <c r="G1427" t="s">
        <v>6066</v>
      </c>
      <c r="H1427" t="s">
        <v>83</v>
      </c>
      <c r="I1427" t="s">
        <v>4615</v>
      </c>
      <c r="L1427" t="s">
        <v>20</v>
      </c>
      <c r="M1427" t="s">
        <v>6067</v>
      </c>
    </row>
    <row r="1428" spans="1:13" x14ac:dyDescent="0.25">
      <c r="A1428">
        <v>6422766</v>
      </c>
      <c r="B1428" t="s">
        <v>6068</v>
      </c>
      <c r="C1428" t="str">
        <f>"9781430265832"</f>
        <v>9781430265832</v>
      </c>
      <c r="D1428" t="str">
        <f>"9781430265849"</f>
        <v>9781430265849</v>
      </c>
      <c r="E1428" t="s">
        <v>5036</v>
      </c>
      <c r="F1428" s="1">
        <v>42028</v>
      </c>
      <c r="G1428" t="s">
        <v>6069</v>
      </c>
      <c r="H1428" t="s">
        <v>712</v>
      </c>
      <c r="I1428" t="s">
        <v>5272</v>
      </c>
      <c r="L1428" t="s">
        <v>20</v>
      </c>
      <c r="M1428" t="s">
        <v>6070</v>
      </c>
    </row>
    <row r="1429" spans="1:13" x14ac:dyDescent="0.25">
      <c r="A1429">
        <v>6422767</v>
      </c>
      <c r="B1429" t="s">
        <v>6071</v>
      </c>
      <c r="C1429" t="str">
        <f>"9783319597331"</f>
        <v>9783319597331</v>
      </c>
      <c r="D1429" t="str">
        <f>"9783319597348"</f>
        <v>9783319597348</v>
      </c>
      <c r="E1429" t="s">
        <v>2905</v>
      </c>
      <c r="F1429" s="1">
        <v>43082</v>
      </c>
      <c r="G1429" t="s">
        <v>6072</v>
      </c>
      <c r="H1429" t="s">
        <v>2528</v>
      </c>
      <c r="I1429" t="s">
        <v>4782</v>
      </c>
      <c r="L1429" t="s">
        <v>20</v>
      </c>
      <c r="M1429" t="s">
        <v>6073</v>
      </c>
    </row>
    <row r="1430" spans="1:13" x14ac:dyDescent="0.25">
      <c r="A1430">
        <v>6422768</v>
      </c>
      <c r="B1430" t="s">
        <v>6074</v>
      </c>
      <c r="C1430" t="str">
        <f>"9783319548128"</f>
        <v>9783319548128</v>
      </c>
      <c r="D1430" t="str">
        <f>"9783319548135"</f>
        <v>9783319548135</v>
      </c>
      <c r="E1430" t="s">
        <v>2905</v>
      </c>
      <c r="F1430" s="1">
        <v>43010</v>
      </c>
      <c r="G1430" t="s">
        <v>4941</v>
      </c>
      <c r="H1430" t="s">
        <v>6075</v>
      </c>
      <c r="I1430" t="s">
        <v>5268</v>
      </c>
      <c r="L1430" t="s">
        <v>20</v>
      </c>
      <c r="M1430" t="s">
        <v>6076</v>
      </c>
    </row>
    <row r="1431" spans="1:13" x14ac:dyDescent="0.25">
      <c r="A1431">
        <v>6422769</v>
      </c>
      <c r="B1431" t="s">
        <v>6077</v>
      </c>
      <c r="C1431" t="str">
        <f>"9783642417030"</f>
        <v>9783642417030</v>
      </c>
      <c r="D1431" t="str">
        <f>"9783642417047"</f>
        <v>9783642417047</v>
      </c>
      <c r="E1431" t="s">
        <v>4540</v>
      </c>
      <c r="F1431" s="1">
        <v>41620</v>
      </c>
      <c r="G1431" t="s">
        <v>6078</v>
      </c>
      <c r="H1431" t="s">
        <v>1753</v>
      </c>
      <c r="I1431" t="s">
        <v>4753</v>
      </c>
      <c r="L1431" t="s">
        <v>20</v>
      </c>
      <c r="M1431" t="s">
        <v>6079</v>
      </c>
    </row>
    <row r="1432" spans="1:13" x14ac:dyDescent="0.25">
      <c r="A1432">
        <v>6422770</v>
      </c>
      <c r="B1432" t="s">
        <v>6080</v>
      </c>
      <c r="C1432" t="str">
        <f>"9781493934454"</f>
        <v>9781493934454</v>
      </c>
      <c r="D1432" t="str">
        <f>"9781493934478"</f>
        <v>9781493934478</v>
      </c>
      <c r="E1432" t="s">
        <v>5854</v>
      </c>
      <c r="F1432" s="1">
        <v>42913</v>
      </c>
      <c r="G1432" t="s">
        <v>5855</v>
      </c>
      <c r="H1432" t="s">
        <v>83</v>
      </c>
      <c r="I1432" t="s">
        <v>4749</v>
      </c>
      <c r="L1432" t="s">
        <v>20</v>
      </c>
      <c r="M1432" t="s">
        <v>6081</v>
      </c>
    </row>
    <row r="1433" spans="1:13" x14ac:dyDescent="0.25">
      <c r="A1433">
        <v>6422771</v>
      </c>
      <c r="B1433" t="s">
        <v>6082</v>
      </c>
      <c r="C1433" t="str">
        <f>"9783319510187"</f>
        <v>9783319510187</v>
      </c>
      <c r="D1433" t="str">
        <f>"9783319510200"</f>
        <v>9783319510200</v>
      </c>
      <c r="E1433" t="s">
        <v>2905</v>
      </c>
      <c r="F1433" s="1">
        <v>42877</v>
      </c>
      <c r="G1433" t="s">
        <v>6083</v>
      </c>
      <c r="H1433" t="s">
        <v>266</v>
      </c>
      <c r="I1433" t="s">
        <v>6084</v>
      </c>
      <c r="L1433" t="s">
        <v>20</v>
      </c>
      <c r="M1433" t="s">
        <v>6085</v>
      </c>
    </row>
    <row r="1434" spans="1:13" x14ac:dyDescent="0.25">
      <c r="A1434">
        <v>6422772</v>
      </c>
      <c r="B1434" t="s">
        <v>6086</v>
      </c>
      <c r="C1434" t="str">
        <f>"9783662598948"</f>
        <v>9783662598948</v>
      </c>
      <c r="D1434" t="str">
        <f>"9783662598955"</f>
        <v>9783662598955</v>
      </c>
      <c r="E1434" t="s">
        <v>4540</v>
      </c>
      <c r="F1434" s="1">
        <v>43844</v>
      </c>
      <c r="G1434" t="s">
        <v>6087</v>
      </c>
      <c r="H1434" t="s">
        <v>4564</v>
      </c>
      <c r="I1434" t="s">
        <v>5454</v>
      </c>
      <c r="L1434" t="s">
        <v>291</v>
      </c>
      <c r="M1434" t="s">
        <v>6088</v>
      </c>
    </row>
    <row r="1435" spans="1:13" x14ac:dyDescent="0.25">
      <c r="A1435">
        <v>6422774</v>
      </c>
      <c r="B1435" t="s">
        <v>6089</v>
      </c>
      <c r="C1435" t="str">
        <f>"9783319329383"</f>
        <v>9783319329383</v>
      </c>
      <c r="D1435" t="str">
        <f>"9783319329390"</f>
        <v>9783319329390</v>
      </c>
      <c r="E1435" t="s">
        <v>2905</v>
      </c>
      <c r="F1435" s="1">
        <v>42968</v>
      </c>
      <c r="G1435" t="s">
        <v>6090</v>
      </c>
      <c r="H1435" t="s">
        <v>6091</v>
      </c>
      <c r="I1435" t="s">
        <v>4520</v>
      </c>
      <c r="J1435">
        <v>363.10199999999998</v>
      </c>
      <c r="L1435" t="s">
        <v>20</v>
      </c>
      <c r="M1435" t="s">
        <v>6092</v>
      </c>
    </row>
    <row r="1436" spans="1:13" x14ac:dyDescent="0.25">
      <c r="A1436">
        <v>6422775</v>
      </c>
      <c r="B1436" t="s">
        <v>6093</v>
      </c>
      <c r="C1436" t="str">
        <f>"9783319527543"</f>
        <v>9783319527543</v>
      </c>
      <c r="D1436" t="str">
        <f>"9783319527550"</f>
        <v>9783319527550</v>
      </c>
      <c r="E1436" t="s">
        <v>2905</v>
      </c>
      <c r="F1436" s="1">
        <v>42839</v>
      </c>
      <c r="G1436" t="s">
        <v>6094</v>
      </c>
      <c r="H1436" t="s">
        <v>1707</v>
      </c>
      <c r="I1436" t="s">
        <v>6095</v>
      </c>
      <c r="L1436" t="s">
        <v>20</v>
      </c>
      <c r="M1436" t="s">
        <v>6096</v>
      </c>
    </row>
    <row r="1437" spans="1:13" x14ac:dyDescent="0.25">
      <c r="A1437">
        <v>6422776</v>
      </c>
      <c r="B1437" t="s">
        <v>6097</v>
      </c>
      <c r="C1437" t="str">
        <f>"9783319911335"</f>
        <v>9783319911335</v>
      </c>
      <c r="D1437" t="str">
        <f>"9783319911342"</f>
        <v>9783319911342</v>
      </c>
      <c r="E1437" t="s">
        <v>2905</v>
      </c>
      <c r="F1437" s="1">
        <v>43427</v>
      </c>
      <c r="G1437" t="s">
        <v>6098</v>
      </c>
      <c r="H1437" t="s">
        <v>363</v>
      </c>
      <c r="I1437" t="s">
        <v>6099</v>
      </c>
      <c r="L1437" t="s">
        <v>20</v>
      </c>
      <c r="M1437" t="s">
        <v>6100</v>
      </c>
    </row>
    <row r="1438" spans="1:13" x14ac:dyDescent="0.25">
      <c r="A1438">
        <v>6422777</v>
      </c>
      <c r="B1438" t="s">
        <v>6101</v>
      </c>
      <c r="C1438" t="str">
        <f>"9783319607139"</f>
        <v>9783319607139</v>
      </c>
      <c r="D1438" t="str">
        <f>"9783319607146"</f>
        <v>9783319607146</v>
      </c>
      <c r="E1438" t="s">
        <v>2905</v>
      </c>
      <c r="F1438" s="1">
        <v>43026</v>
      </c>
      <c r="G1438" t="s">
        <v>6102</v>
      </c>
      <c r="H1438" t="s">
        <v>1753</v>
      </c>
      <c r="I1438" t="s">
        <v>4753</v>
      </c>
      <c r="L1438" t="s">
        <v>20</v>
      </c>
      <c r="M1438" t="s">
        <v>6103</v>
      </c>
    </row>
    <row r="1439" spans="1:13" x14ac:dyDescent="0.25">
      <c r="A1439">
        <v>6422778</v>
      </c>
      <c r="B1439" t="s">
        <v>6104</v>
      </c>
      <c r="C1439" t="str">
        <f>"9781430261575"</f>
        <v>9781430261575</v>
      </c>
      <c r="D1439" t="str">
        <f>"9781430261582"</f>
        <v>9781430261582</v>
      </c>
      <c r="E1439" t="s">
        <v>5036</v>
      </c>
      <c r="F1439" s="1">
        <v>41726</v>
      </c>
      <c r="G1439" t="s">
        <v>6105</v>
      </c>
      <c r="H1439" t="s">
        <v>712</v>
      </c>
      <c r="I1439" t="s">
        <v>5276</v>
      </c>
      <c r="J1439">
        <v>5.25</v>
      </c>
      <c r="L1439" t="s">
        <v>20</v>
      </c>
      <c r="M1439" t="s">
        <v>6106</v>
      </c>
    </row>
    <row r="1440" spans="1:13" x14ac:dyDescent="0.25">
      <c r="A1440">
        <v>6422779</v>
      </c>
      <c r="B1440" t="s">
        <v>6107</v>
      </c>
      <c r="C1440" t="str">
        <f>"9783642050862"</f>
        <v>9783642050862</v>
      </c>
      <c r="D1440" t="str">
        <f>"9783642050879"</f>
        <v>9783642050879</v>
      </c>
      <c r="E1440" t="s">
        <v>4540</v>
      </c>
      <c r="F1440" s="1">
        <v>40890</v>
      </c>
      <c r="G1440" t="s">
        <v>6108</v>
      </c>
      <c r="H1440" t="s">
        <v>41</v>
      </c>
      <c r="I1440" t="s">
        <v>5403</v>
      </c>
      <c r="J1440">
        <v>338.92709172399998</v>
      </c>
      <c r="L1440" t="s">
        <v>20</v>
      </c>
      <c r="M1440" t="s">
        <v>6109</v>
      </c>
    </row>
    <row r="1441" spans="1:13" x14ac:dyDescent="0.25">
      <c r="A1441">
        <v>6422780</v>
      </c>
      <c r="B1441" t="s">
        <v>6110</v>
      </c>
      <c r="C1441" t="str">
        <f>"9783319071176"</f>
        <v>9783319071176</v>
      </c>
      <c r="D1441" t="str">
        <f>"9783319071183"</f>
        <v>9783319071183</v>
      </c>
      <c r="E1441" t="s">
        <v>2905</v>
      </c>
      <c r="F1441" s="1">
        <v>41897</v>
      </c>
      <c r="G1441" t="s">
        <v>5675</v>
      </c>
      <c r="H1441" t="s">
        <v>4915</v>
      </c>
      <c r="I1441" t="s">
        <v>4495</v>
      </c>
      <c r="J1441">
        <v>624.17619999999999</v>
      </c>
      <c r="L1441" t="s">
        <v>20</v>
      </c>
      <c r="M1441" t="s">
        <v>6111</v>
      </c>
    </row>
    <row r="1442" spans="1:13" x14ac:dyDescent="0.25">
      <c r="A1442">
        <v>6422782</v>
      </c>
      <c r="B1442" t="s">
        <v>6112</v>
      </c>
      <c r="C1442" t="str">
        <f>"9783319956596"</f>
        <v>9783319956596</v>
      </c>
      <c r="D1442" t="str">
        <f>"9783319956602"</f>
        <v>9783319956602</v>
      </c>
      <c r="E1442" t="s">
        <v>2905</v>
      </c>
      <c r="F1442" s="1">
        <v>43371</v>
      </c>
      <c r="G1442" t="s">
        <v>6113</v>
      </c>
      <c r="H1442" t="s">
        <v>30</v>
      </c>
      <c r="I1442" t="s">
        <v>4676</v>
      </c>
      <c r="L1442" t="s">
        <v>20</v>
      </c>
      <c r="M1442" t="s">
        <v>6114</v>
      </c>
    </row>
    <row r="1443" spans="1:13" x14ac:dyDescent="0.25">
      <c r="A1443">
        <v>6422783</v>
      </c>
      <c r="B1443" t="s">
        <v>6115</v>
      </c>
      <c r="C1443" t="str">
        <f>"9783642404023"</f>
        <v>9783642404023</v>
      </c>
      <c r="D1443" t="str">
        <f>"9783642404030"</f>
        <v>9783642404030</v>
      </c>
      <c r="E1443" t="s">
        <v>4540</v>
      </c>
      <c r="F1443" s="1">
        <v>41592</v>
      </c>
      <c r="G1443" t="s">
        <v>6116</v>
      </c>
      <c r="H1443" t="s">
        <v>712</v>
      </c>
      <c r="I1443" t="s">
        <v>6117</v>
      </c>
      <c r="L1443" t="s">
        <v>20</v>
      </c>
      <c r="M1443" t="s">
        <v>6118</v>
      </c>
    </row>
    <row r="1444" spans="1:13" x14ac:dyDescent="0.25">
      <c r="A1444">
        <v>6422784</v>
      </c>
      <c r="B1444" t="s">
        <v>6119</v>
      </c>
      <c r="C1444" t="str">
        <f>"9783662568217"</f>
        <v>9783662568217</v>
      </c>
      <c r="D1444" t="str">
        <f>"9783662568224"</f>
        <v>9783662568224</v>
      </c>
      <c r="E1444" t="s">
        <v>4540</v>
      </c>
      <c r="F1444" s="1">
        <v>43256</v>
      </c>
      <c r="G1444" t="s">
        <v>4559</v>
      </c>
      <c r="H1444" t="s">
        <v>5792</v>
      </c>
      <c r="I1444" t="s">
        <v>5793</v>
      </c>
      <c r="L1444" t="s">
        <v>291</v>
      </c>
      <c r="M1444" t="s">
        <v>6120</v>
      </c>
    </row>
    <row r="1445" spans="1:13" x14ac:dyDescent="0.25">
      <c r="A1445">
        <v>6422785</v>
      </c>
      <c r="B1445" t="s">
        <v>6121</v>
      </c>
      <c r="C1445" t="str">
        <f>"9783319023984"</f>
        <v>9783319023984</v>
      </c>
      <c r="D1445" t="str">
        <f>"9783319023991"</f>
        <v>9783319023991</v>
      </c>
      <c r="E1445" t="s">
        <v>2905</v>
      </c>
      <c r="F1445" s="1">
        <v>42025</v>
      </c>
      <c r="G1445" t="s">
        <v>6122</v>
      </c>
      <c r="H1445" t="s">
        <v>363</v>
      </c>
      <c r="I1445" t="s">
        <v>6123</v>
      </c>
      <c r="J1445">
        <v>371.39429999999999</v>
      </c>
      <c r="L1445" t="s">
        <v>20</v>
      </c>
      <c r="M1445" t="s">
        <v>6124</v>
      </c>
    </row>
    <row r="1446" spans="1:13" x14ac:dyDescent="0.25">
      <c r="A1446">
        <v>6422786</v>
      </c>
      <c r="B1446" t="s">
        <v>6125</v>
      </c>
      <c r="C1446" t="str">
        <f>"9783319583877"</f>
        <v>9783319583877</v>
      </c>
      <c r="D1446" t="str">
        <f>"9783319583884"</f>
        <v>9783319583884</v>
      </c>
      <c r="E1446" t="s">
        <v>2905</v>
      </c>
      <c r="F1446" s="1">
        <v>43035</v>
      </c>
      <c r="G1446" t="s">
        <v>6126</v>
      </c>
      <c r="H1446" t="s">
        <v>64</v>
      </c>
      <c r="I1446" t="s">
        <v>6029</v>
      </c>
      <c r="J1446">
        <v>362.767</v>
      </c>
      <c r="L1446" t="s">
        <v>20</v>
      </c>
      <c r="M1446" t="s">
        <v>6127</v>
      </c>
    </row>
    <row r="1447" spans="1:13" x14ac:dyDescent="0.25">
      <c r="A1447">
        <v>6422788</v>
      </c>
      <c r="B1447" t="s">
        <v>6128</v>
      </c>
      <c r="C1447" t="str">
        <f>"9783642540332"</f>
        <v>9783642540332</v>
      </c>
      <c r="D1447" t="str">
        <f>"9783642540349"</f>
        <v>9783642540349</v>
      </c>
      <c r="E1447" t="s">
        <v>4540</v>
      </c>
      <c r="F1447" s="1">
        <v>41703</v>
      </c>
      <c r="G1447" t="s">
        <v>6078</v>
      </c>
      <c r="H1447" t="s">
        <v>169</v>
      </c>
      <c r="I1447" t="s">
        <v>4753</v>
      </c>
      <c r="J1447">
        <v>332.31</v>
      </c>
      <c r="L1447" t="s">
        <v>20</v>
      </c>
      <c r="M1447" t="s">
        <v>6129</v>
      </c>
    </row>
    <row r="1448" spans="1:13" x14ac:dyDescent="0.25">
      <c r="A1448">
        <v>6422789</v>
      </c>
      <c r="B1448" t="s">
        <v>6130</v>
      </c>
      <c r="C1448" t="str">
        <f>"9783658144388"</f>
        <v>9783658144388</v>
      </c>
      <c r="D1448" t="str">
        <f>"9783658144395"</f>
        <v>9783658144395</v>
      </c>
      <c r="E1448" t="s">
        <v>4472</v>
      </c>
      <c r="F1448" s="1">
        <v>42754</v>
      </c>
      <c r="G1448" t="s">
        <v>6131</v>
      </c>
      <c r="H1448" t="s">
        <v>16</v>
      </c>
      <c r="I1448" t="s">
        <v>6132</v>
      </c>
      <c r="L1448" t="s">
        <v>291</v>
      </c>
      <c r="M1448" t="s">
        <v>6133</v>
      </c>
    </row>
    <row r="1449" spans="1:13" x14ac:dyDescent="0.25">
      <c r="A1449">
        <v>6422790</v>
      </c>
      <c r="B1449" t="s">
        <v>6134</v>
      </c>
      <c r="C1449" t="str">
        <f>"9783319469386"</f>
        <v>9783319469386</v>
      </c>
      <c r="D1449" t="str">
        <f>"9783319469393"</f>
        <v>9783319469393</v>
      </c>
      <c r="E1449" t="s">
        <v>2905</v>
      </c>
      <c r="F1449" s="1">
        <v>42747</v>
      </c>
      <c r="G1449" t="s">
        <v>6135</v>
      </c>
      <c r="H1449" t="s">
        <v>83</v>
      </c>
      <c r="I1449" t="s">
        <v>4615</v>
      </c>
      <c r="L1449" t="s">
        <v>20</v>
      </c>
      <c r="M1449" t="s">
        <v>6136</v>
      </c>
    </row>
    <row r="1450" spans="1:13" x14ac:dyDescent="0.25">
      <c r="A1450">
        <v>6422791</v>
      </c>
      <c r="B1450" t="s">
        <v>6137</v>
      </c>
      <c r="C1450" t="str">
        <f>"9783662504468"</f>
        <v>9783662504468</v>
      </c>
      <c r="D1450" t="str">
        <f>"9783662504475"</f>
        <v>9783662504475</v>
      </c>
      <c r="E1450" t="s">
        <v>4540</v>
      </c>
      <c r="F1450" s="1">
        <v>42604</v>
      </c>
      <c r="G1450" t="s">
        <v>6138</v>
      </c>
      <c r="H1450" t="s">
        <v>1178</v>
      </c>
      <c r="I1450" t="s">
        <v>6139</v>
      </c>
      <c r="J1450">
        <v>516.36</v>
      </c>
      <c r="L1450" t="s">
        <v>20</v>
      </c>
      <c r="M1450" t="s">
        <v>6140</v>
      </c>
    </row>
    <row r="1451" spans="1:13" x14ac:dyDescent="0.25">
      <c r="A1451">
        <v>6422792</v>
      </c>
      <c r="B1451" t="s">
        <v>6141</v>
      </c>
      <c r="C1451" t="str">
        <f>"9783319040929"</f>
        <v>9783319040929</v>
      </c>
      <c r="D1451" t="str">
        <f>"9783319040936"</f>
        <v>9783319040936</v>
      </c>
      <c r="E1451" t="s">
        <v>2905</v>
      </c>
      <c r="F1451" s="1">
        <v>41974</v>
      </c>
      <c r="G1451" t="s">
        <v>6142</v>
      </c>
      <c r="H1451" t="s">
        <v>6143</v>
      </c>
      <c r="I1451" t="s">
        <v>6144</v>
      </c>
      <c r="J1451">
        <v>301</v>
      </c>
      <c r="L1451" t="s">
        <v>20</v>
      </c>
      <c r="M1451" t="s">
        <v>6145</v>
      </c>
    </row>
    <row r="1452" spans="1:13" x14ac:dyDescent="0.25">
      <c r="A1452">
        <v>6422793</v>
      </c>
      <c r="B1452" t="s">
        <v>6146</v>
      </c>
      <c r="C1452" t="str">
        <f>"9783319336657"</f>
        <v>9783319336657</v>
      </c>
      <c r="D1452" t="str">
        <f>"9783319336664"</f>
        <v>9783319336664</v>
      </c>
      <c r="E1452" t="s">
        <v>2905</v>
      </c>
      <c r="F1452" s="1">
        <v>42550</v>
      </c>
      <c r="G1452" t="s">
        <v>6147</v>
      </c>
      <c r="H1452" t="s">
        <v>1178</v>
      </c>
      <c r="I1452" t="s">
        <v>4084</v>
      </c>
      <c r="J1452">
        <v>510.71</v>
      </c>
      <c r="L1452" t="s">
        <v>20</v>
      </c>
      <c r="M1452" t="s">
        <v>6148</v>
      </c>
    </row>
    <row r="1453" spans="1:13" x14ac:dyDescent="0.25">
      <c r="A1453">
        <v>6422794</v>
      </c>
      <c r="B1453" t="s">
        <v>6149</v>
      </c>
      <c r="C1453" t="str">
        <f>"9783319544625"</f>
        <v>9783319544625</v>
      </c>
      <c r="D1453" t="str">
        <f>"9783319544632"</f>
        <v>9783319544632</v>
      </c>
      <c r="E1453" t="s">
        <v>2905</v>
      </c>
      <c r="F1453" s="1">
        <v>42894</v>
      </c>
      <c r="G1453" t="s">
        <v>5361</v>
      </c>
      <c r="H1453" t="s">
        <v>30</v>
      </c>
      <c r="I1453" t="s">
        <v>4734</v>
      </c>
      <c r="J1453">
        <v>327.09199999999998</v>
      </c>
      <c r="L1453" t="s">
        <v>20</v>
      </c>
      <c r="M1453" t="s">
        <v>6150</v>
      </c>
    </row>
    <row r="1454" spans="1:13" x14ac:dyDescent="0.25">
      <c r="A1454">
        <v>6422795</v>
      </c>
      <c r="B1454" t="s">
        <v>6151</v>
      </c>
      <c r="C1454" t="str">
        <f>"9783319140896"</f>
        <v>9783319140896</v>
      </c>
      <c r="D1454" t="str">
        <f>"9783319140902"</f>
        <v>9783319140902</v>
      </c>
      <c r="E1454" t="s">
        <v>2905</v>
      </c>
      <c r="F1454" s="1">
        <v>42185</v>
      </c>
      <c r="G1454" t="s">
        <v>6152</v>
      </c>
      <c r="H1454" t="s">
        <v>16</v>
      </c>
      <c r="I1454" t="s">
        <v>6153</v>
      </c>
      <c r="J1454">
        <v>142.69999999999999</v>
      </c>
      <c r="L1454" t="s">
        <v>20</v>
      </c>
      <c r="M1454" t="s">
        <v>6154</v>
      </c>
    </row>
    <row r="1455" spans="1:13" x14ac:dyDescent="0.25">
      <c r="A1455">
        <v>6422796</v>
      </c>
      <c r="B1455" t="s">
        <v>6155</v>
      </c>
      <c r="C1455" t="str">
        <f>"9783319466835"</f>
        <v>9783319466835</v>
      </c>
      <c r="D1455" t="str">
        <f>"9783319466842"</f>
        <v>9783319466842</v>
      </c>
      <c r="E1455" t="s">
        <v>2905</v>
      </c>
      <c r="F1455" s="1">
        <v>43111</v>
      </c>
      <c r="G1455" t="s">
        <v>6156</v>
      </c>
      <c r="H1455" t="s">
        <v>64</v>
      </c>
      <c r="I1455" t="s">
        <v>6157</v>
      </c>
      <c r="J1455">
        <v>362.58600000000001</v>
      </c>
      <c r="L1455" t="s">
        <v>20</v>
      </c>
      <c r="M1455" t="s">
        <v>6158</v>
      </c>
    </row>
    <row r="1456" spans="1:13" x14ac:dyDescent="0.25">
      <c r="A1456">
        <v>6422797</v>
      </c>
      <c r="B1456" t="s">
        <v>6159</v>
      </c>
      <c r="C1456" t="str">
        <f>"9783658292966"</f>
        <v>9783658292966</v>
      </c>
      <c r="D1456" t="str">
        <f>"9783658292973"</f>
        <v>9783658292973</v>
      </c>
      <c r="E1456" t="s">
        <v>4472</v>
      </c>
      <c r="F1456" s="1">
        <v>43904</v>
      </c>
      <c r="G1456" t="s">
        <v>6160</v>
      </c>
      <c r="H1456" t="s">
        <v>363</v>
      </c>
      <c r="I1456" t="s">
        <v>4507</v>
      </c>
      <c r="L1456" t="s">
        <v>291</v>
      </c>
      <c r="M1456" t="s">
        <v>6161</v>
      </c>
    </row>
    <row r="1457" spans="1:13" x14ac:dyDescent="0.25">
      <c r="A1457">
        <v>6422798</v>
      </c>
      <c r="B1457" t="s">
        <v>6162</v>
      </c>
      <c r="C1457" t="str">
        <f>"9783642302404"</f>
        <v>9783642302404</v>
      </c>
      <c r="D1457" t="str">
        <f>"9783642302411"</f>
        <v>9783642302411</v>
      </c>
      <c r="E1457" t="s">
        <v>4540</v>
      </c>
      <c r="F1457" s="1">
        <v>41037</v>
      </c>
      <c r="G1457" t="s">
        <v>6163</v>
      </c>
      <c r="H1457" t="s">
        <v>712</v>
      </c>
      <c r="I1457" t="s">
        <v>5426</v>
      </c>
      <c r="J1457">
        <v>4.6779999999999999</v>
      </c>
      <c r="L1457" t="s">
        <v>20</v>
      </c>
      <c r="M1457" t="s">
        <v>6164</v>
      </c>
    </row>
    <row r="1458" spans="1:13" x14ac:dyDescent="0.25">
      <c r="A1458">
        <v>6422799</v>
      </c>
      <c r="B1458" t="s">
        <v>6165</v>
      </c>
      <c r="C1458" t="str">
        <f>"9783319310619"</f>
        <v>9783319310619</v>
      </c>
      <c r="D1458" t="str">
        <f>"9783319310633"</f>
        <v>9783319310633</v>
      </c>
      <c r="E1458" t="s">
        <v>2905</v>
      </c>
      <c r="F1458" s="1">
        <v>42578</v>
      </c>
      <c r="G1458" t="s">
        <v>6166</v>
      </c>
      <c r="H1458" t="s">
        <v>6167</v>
      </c>
      <c r="I1458" t="s">
        <v>5175</v>
      </c>
      <c r="J1458">
        <v>620.10060099999998</v>
      </c>
      <c r="L1458" t="s">
        <v>20</v>
      </c>
      <c r="M1458" t="s">
        <v>6168</v>
      </c>
    </row>
    <row r="1459" spans="1:13" x14ac:dyDescent="0.25">
      <c r="A1459">
        <v>6422800</v>
      </c>
      <c r="B1459" t="s">
        <v>6169</v>
      </c>
      <c r="C1459" t="str">
        <f>"9783319913995"</f>
        <v>9783319913995</v>
      </c>
      <c r="D1459" t="str">
        <f>"9783319914008"</f>
        <v>9783319914008</v>
      </c>
      <c r="E1459" t="s">
        <v>2905</v>
      </c>
      <c r="F1459" s="1">
        <v>43343</v>
      </c>
      <c r="G1459" t="s">
        <v>6170</v>
      </c>
      <c r="H1459" t="s">
        <v>1753</v>
      </c>
      <c r="I1459" t="s">
        <v>4569</v>
      </c>
      <c r="J1459">
        <v>658.50095999999996</v>
      </c>
      <c r="L1459" t="s">
        <v>20</v>
      </c>
      <c r="M1459" t="s">
        <v>6171</v>
      </c>
    </row>
    <row r="1460" spans="1:13" x14ac:dyDescent="0.25">
      <c r="A1460">
        <v>6422801</v>
      </c>
      <c r="B1460" t="s">
        <v>6172</v>
      </c>
      <c r="C1460" t="str">
        <f>"9781430259893"</f>
        <v>9781430259893</v>
      </c>
      <c r="D1460" t="str">
        <f>"9781430259909"</f>
        <v>9781430259909</v>
      </c>
      <c r="E1460" t="s">
        <v>5036</v>
      </c>
      <c r="F1460" s="1">
        <v>42124</v>
      </c>
      <c r="G1460" t="s">
        <v>6173</v>
      </c>
      <c r="H1460" t="s">
        <v>4180</v>
      </c>
      <c r="I1460" t="s">
        <v>4181</v>
      </c>
      <c r="L1460" t="s">
        <v>20</v>
      </c>
      <c r="M1460" t="s">
        <v>6174</v>
      </c>
    </row>
    <row r="1461" spans="1:13" x14ac:dyDescent="0.25">
      <c r="A1461">
        <v>6422803</v>
      </c>
      <c r="B1461" t="s">
        <v>6175</v>
      </c>
      <c r="C1461" t="str">
        <f>"9783319175416"</f>
        <v>9783319175416</v>
      </c>
      <c r="D1461" t="str">
        <f>"9783319175423"</f>
        <v>9783319175423</v>
      </c>
      <c r="E1461" t="s">
        <v>2905</v>
      </c>
      <c r="F1461" s="1">
        <v>42165</v>
      </c>
      <c r="G1461" t="s">
        <v>6176</v>
      </c>
      <c r="H1461" t="s">
        <v>1753</v>
      </c>
      <c r="I1461" t="s">
        <v>6177</v>
      </c>
      <c r="L1461" t="s">
        <v>20</v>
      </c>
      <c r="M1461" t="s">
        <v>6178</v>
      </c>
    </row>
    <row r="1462" spans="1:13" x14ac:dyDescent="0.25">
      <c r="A1462">
        <v>6422804</v>
      </c>
      <c r="B1462" t="s">
        <v>6179</v>
      </c>
      <c r="C1462" t="str">
        <f>"9783319643366"</f>
        <v>9783319643366</v>
      </c>
      <c r="D1462" t="str">
        <f>"9783319643373"</f>
        <v>9783319643373</v>
      </c>
      <c r="E1462" t="s">
        <v>2905</v>
      </c>
      <c r="F1462" s="1">
        <v>43118</v>
      </c>
      <c r="G1462" t="s">
        <v>6180</v>
      </c>
      <c r="H1462" t="s">
        <v>6181</v>
      </c>
      <c r="I1462" t="s">
        <v>5629</v>
      </c>
      <c r="J1462">
        <v>610.9</v>
      </c>
      <c r="L1462" t="s">
        <v>20</v>
      </c>
      <c r="M1462" t="s">
        <v>6182</v>
      </c>
    </row>
    <row r="1463" spans="1:13" x14ac:dyDescent="0.25">
      <c r="A1463">
        <v>6422806</v>
      </c>
      <c r="B1463" t="s">
        <v>6183</v>
      </c>
      <c r="C1463" t="str">
        <f>"9783319099903"</f>
        <v>9783319099903</v>
      </c>
      <c r="D1463" t="str">
        <f>"9783319099910"</f>
        <v>9783319099910</v>
      </c>
      <c r="E1463" t="s">
        <v>2905</v>
      </c>
      <c r="F1463" s="1">
        <v>41908</v>
      </c>
      <c r="G1463" t="s">
        <v>6184</v>
      </c>
      <c r="H1463" t="s">
        <v>1753</v>
      </c>
      <c r="I1463" t="s">
        <v>6185</v>
      </c>
      <c r="L1463" t="s">
        <v>20</v>
      </c>
      <c r="M1463" t="s">
        <v>6186</v>
      </c>
    </row>
    <row r="1464" spans="1:13" x14ac:dyDescent="0.25">
      <c r="A1464">
        <v>6422807</v>
      </c>
      <c r="B1464" t="s">
        <v>6187</v>
      </c>
      <c r="C1464" t="str">
        <f>"9781430265719"</f>
        <v>9781430265719</v>
      </c>
      <c r="D1464" t="str">
        <f>"9781430265726"</f>
        <v>9781430265726</v>
      </c>
      <c r="E1464" t="s">
        <v>5036</v>
      </c>
      <c r="F1464" s="1">
        <v>41860</v>
      </c>
      <c r="G1464" t="s">
        <v>6188</v>
      </c>
      <c r="H1464" t="s">
        <v>712</v>
      </c>
      <c r="I1464" t="s">
        <v>5272</v>
      </c>
      <c r="L1464" t="s">
        <v>20</v>
      </c>
      <c r="M1464" t="s">
        <v>6189</v>
      </c>
    </row>
    <row r="1465" spans="1:13" x14ac:dyDescent="0.25">
      <c r="A1465">
        <v>6422808</v>
      </c>
      <c r="B1465" t="s">
        <v>6190</v>
      </c>
      <c r="C1465" t="str">
        <f>"9783030615697"</f>
        <v>9783030615697</v>
      </c>
      <c r="D1465" t="str">
        <f>"9783030615703"</f>
        <v>9783030615703</v>
      </c>
      <c r="E1465" t="s">
        <v>2905</v>
      </c>
      <c r="F1465" s="1">
        <v>44175</v>
      </c>
      <c r="G1465" t="s">
        <v>6191</v>
      </c>
      <c r="H1465" t="s">
        <v>1178</v>
      </c>
      <c r="I1465" t="s">
        <v>4084</v>
      </c>
      <c r="L1465" t="s">
        <v>20</v>
      </c>
      <c r="M1465" t="s">
        <v>6192</v>
      </c>
    </row>
    <row r="1466" spans="1:13" x14ac:dyDescent="0.25">
      <c r="A1466">
        <v>6422809</v>
      </c>
      <c r="B1466" t="s">
        <v>6193</v>
      </c>
      <c r="C1466" t="str">
        <f>"9783319715315"</f>
        <v>9783319715315</v>
      </c>
      <c r="D1466" t="str">
        <f>"9783319715322"</f>
        <v>9783319715322</v>
      </c>
      <c r="E1466" t="s">
        <v>2905</v>
      </c>
      <c r="F1466" s="1">
        <v>43150</v>
      </c>
      <c r="G1466" t="s">
        <v>6194</v>
      </c>
      <c r="H1466" t="s">
        <v>363</v>
      </c>
      <c r="I1466" t="s">
        <v>4486</v>
      </c>
      <c r="L1466" t="s">
        <v>20</v>
      </c>
      <c r="M1466" t="s">
        <v>6195</v>
      </c>
    </row>
    <row r="1467" spans="1:13" x14ac:dyDescent="0.25">
      <c r="A1467">
        <v>6422811</v>
      </c>
      <c r="B1467" t="s">
        <v>6196</v>
      </c>
      <c r="C1467" t="str">
        <f>"9783658125011"</f>
        <v>9783658125011</v>
      </c>
      <c r="D1467" t="str">
        <f>"9783658125028"</f>
        <v>9783658125028</v>
      </c>
      <c r="E1467" t="s">
        <v>4472</v>
      </c>
      <c r="F1467" s="1">
        <v>42668</v>
      </c>
      <c r="G1467" t="s">
        <v>6197</v>
      </c>
      <c r="H1467" t="s">
        <v>1753</v>
      </c>
      <c r="I1467" t="s">
        <v>4609</v>
      </c>
      <c r="L1467" t="s">
        <v>291</v>
      </c>
      <c r="M1467" t="s">
        <v>6198</v>
      </c>
    </row>
    <row r="1468" spans="1:13" x14ac:dyDescent="0.25">
      <c r="A1468">
        <v>6422812</v>
      </c>
      <c r="B1468" t="s">
        <v>6199</v>
      </c>
      <c r="C1468" t="str">
        <f>"9783319727899"</f>
        <v>9783319727899</v>
      </c>
      <c r="D1468" t="str">
        <f>"9783319727905"</f>
        <v>9783319727905</v>
      </c>
      <c r="E1468" t="s">
        <v>2905</v>
      </c>
      <c r="F1468" s="1">
        <v>43175</v>
      </c>
      <c r="G1468" t="s">
        <v>6200</v>
      </c>
      <c r="H1468" t="s">
        <v>266</v>
      </c>
      <c r="I1468" t="s">
        <v>5338</v>
      </c>
      <c r="L1468" t="s">
        <v>20</v>
      </c>
      <c r="M1468" t="s">
        <v>6201</v>
      </c>
    </row>
    <row r="1469" spans="1:13" x14ac:dyDescent="0.25">
      <c r="A1469">
        <v>6422813</v>
      </c>
      <c r="B1469" t="s">
        <v>6202</v>
      </c>
      <c r="C1469" t="str">
        <f>"9789811073915"</f>
        <v>9789811073915</v>
      </c>
      <c r="D1469" t="str">
        <f>"9789811073922"</f>
        <v>9789811073922</v>
      </c>
      <c r="E1469" t="s">
        <v>4099</v>
      </c>
      <c r="F1469" s="1">
        <v>43122</v>
      </c>
      <c r="G1469" t="s">
        <v>6203</v>
      </c>
      <c r="H1469" t="s">
        <v>2258</v>
      </c>
      <c r="I1469" t="s">
        <v>5436</v>
      </c>
      <c r="L1469" t="s">
        <v>20</v>
      </c>
      <c r="M1469" t="s">
        <v>6204</v>
      </c>
    </row>
    <row r="1470" spans="1:13" x14ac:dyDescent="0.25">
      <c r="A1470">
        <v>6422817</v>
      </c>
      <c r="B1470" t="s">
        <v>6205</v>
      </c>
      <c r="C1470" t="str">
        <f>"9789400770874"</f>
        <v>9789400770874</v>
      </c>
      <c r="D1470" t="str">
        <f>"9789400770881"</f>
        <v>9789400770881</v>
      </c>
      <c r="E1470" t="s">
        <v>4612</v>
      </c>
      <c r="F1470" s="1">
        <v>41551</v>
      </c>
      <c r="G1470" t="s">
        <v>6206</v>
      </c>
      <c r="H1470" t="s">
        <v>2603</v>
      </c>
      <c r="I1470" t="s">
        <v>6207</v>
      </c>
      <c r="J1470">
        <v>577.55999999999995</v>
      </c>
      <c r="L1470" t="s">
        <v>20</v>
      </c>
      <c r="M1470" t="s">
        <v>6208</v>
      </c>
    </row>
    <row r="1471" spans="1:13" x14ac:dyDescent="0.25">
      <c r="A1471">
        <v>6422819</v>
      </c>
      <c r="B1471" t="s">
        <v>6209</v>
      </c>
      <c r="C1471" t="str">
        <f>"9783658169800"</f>
        <v>9783658169800</v>
      </c>
      <c r="D1471" t="str">
        <f>"9783658169817"</f>
        <v>9783658169817</v>
      </c>
      <c r="E1471" t="s">
        <v>4472</v>
      </c>
      <c r="F1471" s="1">
        <v>42954</v>
      </c>
      <c r="G1471" t="s">
        <v>6210</v>
      </c>
      <c r="H1471" t="s">
        <v>363</v>
      </c>
      <c r="I1471" t="s">
        <v>6211</v>
      </c>
      <c r="L1471" t="s">
        <v>291</v>
      </c>
      <c r="M1471" t="s">
        <v>6212</v>
      </c>
    </row>
    <row r="1472" spans="1:13" x14ac:dyDescent="0.25">
      <c r="A1472">
        <v>6422820</v>
      </c>
      <c r="B1472" t="s">
        <v>6213</v>
      </c>
      <c r="C1472" t="str">
        <f>"9783319786100"</f>
        <v>9783319786100</v>
      </c>
      <c r="D1472" t="str">
        <f>"9783319789347"</f>
        <v>9783319789347</v>
      </c>
      <c r="E1472" t="s">
        <v>2905</v>
      </c>
      <c r="F1472" s="1">
        <v>43480</v>
      </c>
      <c r="G1472" t="s">
        <v>6214</v>
      </c>
      <c r="H1472" t="s">
        <v>5628</v>
      </c>
      <c r="I1472" t="s">
        <v>5629</v>
      </c>
      <c r="J1472">
        <v>618.11</v>
      </c>
      <c r="L1472" t="s">
        <v>20</v>
      </c>
      <c r="M1472" t="s">
        <v>6215</v>
      </c>
    </row>
    <row r="1473" spans="1:13" x14ac:dyDescent="0.25">
      <c r="A1473">
        <v>6422821</v>
      </c>
      <c r="B1473" t="s">
        <v>6216</v>
      </c>
      <c r="C1473" t="str">
        <f>"9783319323930"</f>
        <v>9783319323930</v>
      </c>
      <c r="D1473" t="str">
        <f>"9783319323947"</f>
        <v>9783319323947</v>
      </c>
      <c r="E1473" t="s">
        <v>2905</v>
      </c>
      <c r="F1473" s="1">
        <v>42569</v>
      </c>
      <c r="G1473" t="s">
        <v>6217</v>
      </c>
      <c r="H1473" t="s">
        <v>1178</v>
      </c>
      <c r="I1473" t="s">
        <v>4084</v>
      </c>
      <c r="J1473">
        <v>510.71</v>
      </c>
      <c r="L1473" t="s">
        <v>20</v>
      </c>
      <c r="M1473" t="s">
        <v>6218</v>
      </c>
    </row>
    <row r="1474" spans="1:13" x14ac:dyDescent="0.25">
      <c r="A1474">
        <v>6422822</v>
      </c>
      <c r="B1474" t="s">
        <v>6219</v>
      </c>
      <c r="C1474" t="str">
        <f>"9783319947990"</f>
        <v>9783319947990</v>
      </c>
      <c r="D1474" t="str">
        <f>"9783319948003"</f>
        <v>9783319948003</v>
      </c>
      <c r="E1474" t="s">
        <v>2905</v>
      </c>
      <c r="F1474" s="1">
        <v>43357</v>
      </c>
      <c r="G1474" t="s">
        <v>6220</v>
      </c>
      <c r="H1474" t="s">
        <v>766</v>
      </c>
      <c r="I1474" t="s">
        <v>4726</v>
      </c>
      <c r="J1474">
        <v>323.35199999999998</v>
      </c>
      <c r="L1474" t="s">
        <v>20</v>
      </c>
      <c r="M1474" t="s">
        <v>6221</v>
      </c>
    </row>
    <row r="1475" spans="1:13" x14ac:dyDescent="0.25">
      <c r="A1475">
        <v>6422823</v>
      </c>
      <c r="B1475" t="s">
        <v>6222</v>
      </c>
      <c r="C1475" t="str">
        <f>"9783658226473"</f>
        <v>9783658226473</v>
      </c>
      <c r="D1475" t="str">
        <f>"9783658226480"</f>
        <v>9783658226480</v>
      </c>
      <c r="E1475" t="s">
        <v>4472</v>
      </c>
      <c r="F1475" s="1">
        <v>43349</v>
      </c>
      <c r="G1475" t="s">
        <v>6223</v>
      </c>
      <c r="H1475" t="s">
        <v>712</v>
      </c>
      <c r="I1475" t="s">
        <v>5426</v>
      </c>
      <c r="L1475" t="s">
        <v>291</v>
      </c>
      <c r="M1475" t="s">
        <v>6224</v>
      </c>
    </row>
    <row r="1476" spans="1:13" x14ac:dyDescent="0.25">
      <c r="A1476">
        <v>6422825</v>
      </c>
      <c r="B1476" t="s">
        <v>6225</v>
      </c>
      <c r="C1476" t="str">
        <f>"9783319389677"</f>
        <v>9783319389677</v>
      </c>
      <c r="D1476" t="str">
        <f>"9783319389684"</f>
        <v>9783319389684</v>
      </c>
      <c r="E1476" t="s">
        <v>2905</v>
      </c>
      <c r="F1476" s="1">
        <v>42549</v>
      </c>
      <c r="G1476" t="s">
        <v>6226</v>
      </c>
      <c r="H1476" t="s">
        <v>5841</v>
      </c>
      <c r="I1476" t="s">
        <v>4084</v>
      </c>
      <c r="J1476">
        <v>370.72699999999998</v>
      </c>
      <c r="L1476" t="s">
        <v>20</v>
      </c>
      <c r="M1476" t="s">
        <v>6227</v>
      </c>
    </row>
    <row r="1477" spans="1:13" x14ac:dyDescent="0.25">
      <c r="A1477">
        <v>6422826</v>
      </c>
      <c r="B1477" t="s">
        <v>6228</v>
      </c>
      <c r="C1477" t="str">
        <f>"9789812873804"</f>
        <v>9789812873804</v>
      </c>
      <c r="D1477" t="str">
        <f>"9789812873811"</f>
        <v>9789812873811</v>
      </c>
      <c r="E1477" t="s">
        <v>4099</v>
      </c>
      <c r="F1477" s="1">
        <v>42121</v>
      </c>
      <c r="G1477" t="s">
        <v>6229</v>
      </c>
      <c r="H1477" t="s">
        <v>64</v>
      </c>
      <c r="I1477" t="s">
        <v>4661</v>
      </c>
      <c r="L1477" t="s">
        <v>20</v>
      </c>
      <c r="M1477" t="s">
        <v>6230</v>
      </c>
    </row>
    <row r="1478" spans="1:13" x14ac:dyDescent="0.25">
      <c r="A1478">
        <v>6422827</v>
      </c>
      <c r="B1478" t="s">
        <v>6231</v>
      </c>
      <c r="C1478" t="str">
        <f>"9781430264965"</f>
        <v>9781430264965</v>
      </c>
      <c r="D1478" t="str">
        <f>"9781430264972"</f>
        <v>9781430264972</v>
      </c>
      <c r="E1478" t="s">
        <v>5036</v>
      </c>
      <c r="F1478" s="1">
        <v>41918</v>
      </c>
      <c r="G1478" t="s">
        <v>6232</v>
      </c>
      <c r="H1478" t="s">
        <v>712</v>
      </c>
      <c r="I1478" t="s">
        <v>5038</v>
      </c>
      <c r="L1478" t="s">
        <v>20</v>
      </c>
      <c r="M1478" t="s">
        <v>6233</v>
      </c>
    </row>
    <row r="1479" spans="1:13" x14ac:dyDescent="0.25">
      <c r="A1479">
        <v>6422828</v>
      </c>
      <c r="B1479" t="s">
        <v>6234</v>
      </c>
      <c r="C1479" t="str">
        <f>"9783030513153"</f>
        <v>9783030513153</v>
      </c>
      <c r="D1479" t="str">
        <f>"9783030513160"</f>
        <v>9783030513160</v>
      </c>
      <c r="E1479" t="s">
        <v>2905</v>
      </c>
      <c r="F1479" s="1">
        <v>44173</v>
      </c>
      <c r="G1479" t="s">
        <v>6235</v>
      </c>
      <c r="H1479" t="s">
        <v>4748</v>
      </c>
      <c r="I1479" t="s">
        <v>6236</v>
      </c>
      <c r="J1479">
        <v>363.69095809999999</v>
      </c>
      <c r="L1479" t="s">
        <v>20</v>
      </c>
      <c r="M1479" t="s">
        <v>6237</v>
      </c>
    </row>
    <row r="1480" spans="1:13" x14ac:dyDescent="0.25">
      <c r="A1480">
        <v>6422829</v>
      </c>
      <c r="B1480" t="s">
        <v>6238</v>
      </c>
      <c r="C1480" t="str">
        <f>"9783319205700"</f>
        <v>9783319205700</v>
      </c>
      <c r="D1480" t="str">
        <f>"9783319205717"</f>
        <v>9783319205717</v>
      </c>
      <c r="E1480" t="s">
        <v>2905</v>
      </c>
      <c r="F1480" s="1">
        <v>42356</v>
      </c>
      <c r="G1480" t="s">
        <v>6239</v>
      </c>
      <c r="H1480" t="s">
        <v>4614</v>
      </c>
      <c r="I1480" t="s">
        <v>4537</v>
      </c>
      <c r="J1480">
        <v>658.40800000000002</v>
      </c>
      <c r="L1480" t="s">
        <v>20</v>
      </c>
      <c r="M1480" t="s">
        <v>6240</v>
      </c>
    </row>
    <row r="1481" spans="1:13" x14ac:dyDescent="0.25">
      <c r="A1481">
        <v>6422830</v>
      </c>
      <c r="B1481" t="s">
        <v>6241</v>
      </c>
      <c r="C1481" t="str">
        <f>"9783658216580"</f>
        <v>9783658216580</v>
      </c>
      <c r="D1481" t="str">
        <f>"9783658216597"</f>
        <v>9783658216597</v>
      </c>
      <c r="E1481" t="s">
        <v>4472</v>
      </c>
      <c r="F1481" s="1">
        <v>43805</v>
      </c>
      <c r="G1481" t="s">
        <v>6242</v>
      </c>
      <c r="H1481" t="s">
        <v>64</v>
      </c>
      <c r="I1481" t="s">
        <v>2908</v>
      </c>
      <c r="L1481" t="s">
        <v>291</v>
      </c>
      <c r="M1481" t="s">
        <v>6243</v>
      </c>
    </row>
    <row r="1482" spans="1:13" x14ac:dyDescent="0.25">
      <c r="A1482">
        <v>6422831</v>
      </c>
      <c r="B1482" t="s">
        <v>6244</v>
      </c>
      <c r="C1482" t="str">
        <f>"9789400779594"</f>
        <v>9789400779594</v>
      </c>
      <c r="D1482" t="str">
        <f>"9789400779600"</f>
        <v>9789400779600</v>
      </c>
      <c r="E1482" t="s">
        <v>4612</v>
      </c>
      <c r="F1482" s="1">
        <v>41667</v>
      </c>
      <c r="G1482" t="s">
        <v>6245</v>
      </c>
      <c r="H1482" t="s">
        <v>4639</v>
      </c>
      <c r="I1482" t="s">
        <v>4615</v>
      </c>
      <c r="J1482">
        <v>333.72093999999998</v>
      </c>
      <c r="L1482" t="s">
        <v>20</v>
      </c>
      <c r="M1482" t="s">
        <v>6246</v>
      </c>
    </row>
    <row r="1483" spans="1:13" x14ac:dyDescent="0.25">
      <c r="A1483">
        <v>6422832</v>
      </c>
      <c r="B1483" t="s">
        <v>6247</v>
      </c>
      <c r="C1483" t="str">
        <f>"9783642333767"</f>
        <v>9783642333767</v>
      </c>
      <c r="D1483" t="str">
        <f>"9783642333774"</f>
        <v>9783642333774</v>
      </c>
      <c r="E1483" t="s">
        <v>4540</v>
      </c>
      <c r="F1483" s="1">
        <v>41381</v>
      </c>
      <c r="G1483" t="s">
        <v>6248</v>
      </c>
      <c r="H1483" t="s">
        <v>83</v>
      </c>
      <c r="I1483" t="s">
        <v>4537</v>
      </c>
      <c r="L1483" t="s">
        <v>20</v>
      </c>
      <c r="M1483" t="s">
        <v>6249</v>
      </c>
    </row>
    <row r="1484" spans="1:13" x14ac:dyDescent="0.25">
      <c r="A1484">
        <v>6422833</v>
      </c>
      <c r="B1484" t="s">
        <v>6250</v>
      </c>
      <c r="C1484" t="str">
        <f>"9783658049157"</f>
        <v>9783658049157</v>
      </c>
      <c r="D1484" t="str">
        <f>"9783658049164"</f>
        <v>9783658049164</v>
      </c>
      <c r="E1484" t="s">
        <v>4472</v>
      </c>
      <c r="F1484" s="1">
        <v>41911</v>
      </c>
      <c r="G1484" t="s">
        <v>6251</v>
      </c>
      <c r="H1484" t="s">
        <v>64</v>
      </c>
      <c r="I1484" t="s">
        <v>5286</v>
      </c>
      <c r="L1484" t="s">
        <v>20</v>
      </c>
      <c r="M1484" t="s">
        <v>6252</v>
      </c>
    </row>
    <row r="1485" spans="1:13" x14ac:dyDescent="0.25">
      <c r="A1485">
        <v>6422834</v>
      </c>
      <c r="B1485" t="s">
        <v>6253</v>
      </c>
      <c r="C1485" t="str">
        <f>"9783319316246"</f>
        <v>9783319316246</v>
      </c>
      <c r="D1485" t="str">
        <f>"9783319316253"</f>
        <v>9783319316253</v>
      </c>
      <c r="E1485" t="s">
        <v>2905</v>
      </c>
      <c r="F1485" s="1">
        <v>42586</v>
      </c>
      <c r="G1485" t="s">
        <v>6254</v>
      </c>
      <c r="H1485" t="s">
        <v>1178</v>
      </c>
      <c r="I1485" t="s">
        <v>4084</v>
      </c>
      <c r="J1485">
        <v>519.20709999999997</v>
      </c>
      <c r="L1485" t="s">
        <v>20</v>
      </c>
      <c r="M1485" t="s">
        <v>6255</v>
      </c>
    </row>
    <row r="1486" spans="1:13" x14ac:dyDescent="0.25">
      <c r="A1486">
        <v>6422835</v>
      </c>
      <c r="B1486" t="s">
        <v>6256</v>
      </c>
      <c r="C1486" t="str">
        <f>"9784431551256"</f>
        <v>9784431551256</v>
      </c>
      <c r="D1486" t="str">
        <f>"9784431551928"</f>
        <v>9784431551928</v>
      </c>
      <c r="E1486" t="s">
        <v>4510</v>
      </c>
      <c r="F1486" s="1">
        <v>41978</v>
      </c>
      <c r="G1486" t="s">
        <v>5571</v>
      </c>
      <c r="H1486" t="s">
        <v>266</v>
      </c>
      <c r="I1486" t="s">
        <v>5572</v>
      </c>
      <c r="J1486" t="s">
        <v>6257</v>
      </c>
      <c r="L1486" t="s">
        <v>20</v>
      </c>
      <c r="M1486" t="s">
        <v>6258</v>
      </c>
    </row>
    <row r="1487" spans="1:13" x14ac:dyDescent="0.25">
      <c r="A1487">
        <v>6422836</v>
      </c>
      <c r="B1487" t="s">
        <v>6259</v>
      </c>
      <c r="C1487" t="str">
        <f>"9789401786775"</f>
        <v>9789401786775</v>
      </c>
      <c r="D1487" t="str">
        <f>"9789401786782"</f>
        <v>9789401786782</v>
      </c>
      <c r="E1487" t="s">
        <v>4612</v>
      </c>
      <c r="F1487" s="1">
        <v>41884</v>
      </c>
      <c r="G1487" t="s">
        <v>6260</v>
      </c>
      <c r="H1487" t="s">
        <v>6261</v>
      </c>
      <c r="I1487" t="s">
        <v>4537</v>
      </c>
      <c r="J1487">
        <v>338.92700000000002</v>
      </c>
      <c r="L1487" t="s">
        <v>20</v>
      </c>
      <c r="M1487" t="s">
        <v>6262</v>
      </c>
    </row>
    <row r="1488" spans="1:13" x14ac:dyDescent="0.25">
      <c r="A1488">
        <v>6422837</v>
      </c>
      <c r="B1488" t="s">
        <v>6263</v>
      </c>
      <c r="C1488" t="str">
        <f>"9784431545583"</f>
        <v>9784431545583</v>
      </c>
      <c r="D1488" t="str">
        <f>"9784431545590"</f>
        <v>9784431545590</v>
      </c>
      <c r="E1488" t="s">
        <v>4510</v>
      </c>
      <c r="F1488" s="1">
        <v>41708</v>
      </c>
      <c r="G1488" t="s">
        <v>6264</v>
      </c>
      <c r="H1488" t="s">
        <v>6261</v>
      </c>
      <c r="I1488" t="s">
        <v>4537</v>
      </c>
      <c r="J1488">
        <v>338.95206999999999</v>
      </c>
      <c r="L1488" t="s">
        <v>20</v>
      </c>
      <c r="M1488" t="s">
        <v>6265</v>
      </c>
    </row>
    <row r="1489" spans="1:13" x14ac:dyDescent="0.25">
      <c r="A1489">
        <v>6422838</v>
      </c>
      <c r="B1489" t="s">
        <v>6266</v>
      </c>
      <c r="C1489" t="str">
        <f>"9783319407296"</f>
        <v>9783319407296</v>
      </c>
      <c r="D1489" t="str">
        <f>"9783319407302"</f>
        <v>9783319407302</v>
      </c>
      <c r="E1489" t="s">
        <v>2905</v>
      </c>
      <c r="F1489" s="1">
        <v>42557</v>
      </c>
      <c r="G1489" t="s">
        <v>6267</v>
      </c>
      <c r="H1489" t="s">
        <v>1178</v>
      </c>
      <c r="I1489" t="s">
        <v>4084</v>
      </c>
      <c r="J1489">
        <v>510.71</v>
      </c>
      <c r="L1489" t="s">
        <v>20</v>
      </c>
      <c r="M1489" t="s">
        <v>6268</v>
      </c>
    </row>
    <row r="1490" spans="1:13" x14ac:dyDescent="0.25">
      <c r="A1490">
        <v>6422840</v>
      </c>
      <c r="B1490" t="s">
        <v>6269</v>
      </c>
      <c r="C1490" t="str">
        <f>"9783662503966"</f>
        <v>9783662503966</v>
      </c>
      <c r="D1490" t="str">
        <f>"9783662503973"</f>
        <v>9783662503973</v>
      </c>
      <c r="E1490" t="s">
        <v>4540</v>
      </c>
      <c r="F1490" s="1">
        <v>42648</v>
      </c>
      <c r="G1490" t="s">
        <v>6270</v>
      </c>
      <c r="H1490" t="s">
        <v>83</v>
      </c>
      <c r="I1490" t="s">
        <v>4615</v>
      </c>
      <c r="L1490" t="s">
        <v>291</v>
      </c>
      <c r="M1490" t="s">
        <v>6271</v>
      </c>
    </row>
    <row r="1491" spans="1:13" x14ac:dyDescent="0.25">
      <c r="A1491">
        <v>6422841</v>
      </c>
      <c r="B1491" t="s">
        <v>6272</v>
      </c>
      <c r="C1491" t="str">
        <f>"9784431543053"</f>
        <v>9784431543053</v>
      </c>
      <c r="D1491" t="str">
        <f>"9784431543060"</f>
        <v>9784431543060</v>
      </c>
      <c r="E1491" t="s">
        <v>4510</v>
      </c>
      <c r="F1491" s="1">
        <v>41353</v>
      </c>
      <c r="G1491" t="s">
        <v>6273</v>
      </c>
      <c r="H1491" t="s">
        <v>1753</v>
      </c>
      <c r="I1491" t="s">
        <v>4753</v>
      </c>
      <c r="L1491" t="s">
        <v>20</v>
      </c>
      <c r="M1491" t="s">
        <v>6274</v>
      </c>
    </row>
    <row r="1492" spans="1:13" x14ac:dyDescent="0.25">
      <c r="A1492">
        <v>6422842</v>
      </c>
      <c r="B1492" t="s">
        <v>6275</v>
      </c>
      <c r="C1492" t="str">
        <f>"9783030043629"</f>
        <v>9783030043629</v>
      </c>
      <c r="D1492" t="str">
        <f>"9783030043636"</f>
        <v>9783030043636</v>
      </c>
      <c r="E1492" t="s">
        <v>2905</v>
      </c>
      <c r="F1492" s="1">
        <v>43508</v>
      </c>
      <c r="G1492" t="s">
        <v>6276</v>
      </c>
      <c r="H1492" t="s">
        <v>1624</v>
      </c>
      <c r="I1492" t="s">
        <v>6277</v>
      </c>
      <c r="L1492" t="s">
        <v>20</v>
      </c>
      <c r="M1492" t="s">
        <v>6278</v>
      </c>
    </row>
    <row r="1493" spans="1:13" x14ac:dyDescent="0.25">
      <c r="A1493">
        <v>6422843</v>
      </c>
      <c r="B1493" t="s">
        <v>6279</v>
      </c>
      <c r="C1493" t="str">
        <f>"9783658284749"</f>
        <v>9783658284749</v>
      </c>
      <c r="D1493" t="str">
        <f>"9783658284756"</f>
        <v>9783658284756</v>
      </c>
      <c r="E1493" t="s">
        <v>4472</v>
      </c>
      <c r="F1493" s="1">
        <v>43787</v>
      </c>
      <c r="G1493" t="s">
        <v>6280</v>
      </c>
      <c r="H1493" t="s">
        <v>1586</v>
      </c>
      <c r="I1493" t="s">
        <v>5501</v>
      </c>
      <c r="L1493" t="s">
        <v>291</v>
      </c>
      <c r="M1493" t="s">
        <v>6281</v>
      </c>
    </row>
    <row r="1494" spans="1:13" x14ac:dyDescent="0.25">
      <c r="A1494">
        <v>6422844</v>
      </c>
      <c r="B1494" t="s">
        <v>6282</v>
      </c>
      <c r="C1494" t="str">
        <f>"9783319653518"</f>
        <v>9783319653518</v>
      </c>
      <c r="D1494" t="str">
        <f>"9783319653525"</f>
        <v>9783319653525</v>
      </c>
      <c r="E1494" t="s">
        <v>2905</v>
      </c>
      <c r="F1494" s="1">
        <v>43012</v>
      </c>
      <c r="G1494" t="s">
        <v>6283</v>
      </c>
      <c r="H1494" t="s">
        <v>6284</v>
      </c>
      <c r="I1494" t="s">
        <v>6285</v>
      </c>
      <c r="J1494">
        <v>355.02</v>
      </c>
      <c r="L1494" t="s">
        <v>20</v>
      </c>
      <c r="M1494" t="s">
        <v>6286</v>
      </c>
    </row>
    <row r="1495" spans="1:13" x14ac:dyDescent="0.25">
      <c r="A1495">
        <v>6422845</v>
      </c>
      <c r="B1495" t="s">
        <v>6287</v>
      </c>
      <c r="C1495" t="str">
        <f>"9783658226435"</f>
        <v>9783658226435</v>
      </c>
      <c r="D1495" t="str">
        <f>"9783658226442"</f>
        <v>9783658226442</v>
      </c>
      <c r="E1495" t="s">
        <v>4472</v>
      </c>
      <c r="F1495" s="1">
        <v>43279</v>
      </c>
      <c r="G1495" t="s">
        <v>6288</v>
      </c>
      <c r="H1495" t="s">
        <v>1586</v>
      </c>
      <c r="I1495" t="s">
        <v>5501</v>
      </c>
      <c r="L1495" t="s">
        <v>291</v>
      </c>
      <c r="M1495" t="s">
        <v>6289</v>
      </c>
    </row>
    <row r="1496" spans="1:13" x14ac:dyDescent="0.25">
      <c r="A1496">
        <v>6422846</v>
      </c>
      <c r="B1496" t="s">
        <v>6290</v>
      </c>
      <c r="C1496" t="str">
        <f>"9783319142210"</f>
        <v>9783319142210</v>
      </c>
      <c r="D1496" t="str">
        <f>"9783319142227"</f>
        <v>9783319142227</v>
      </c>
      <c r="E1496" t="s">
        <v>2905</v>
      </c>
      <c r="F1496" s="1">
        <v>42108</v>
      </c>
      <c r="G1496" t="s">
        <v>6291</v>
      </c>
      <c r="H1496" t="s">
        <v>4451</v>
      </c>
      <c r="I1496" t="s">
        <v>4235</v>
      </c>
      <c r="J1496">
        <v>303.48329999999999</v>
      </c>
      <c r="L1496" t="s">
        <v>20</v>
      </c>
      <c r="M1496" t="s">
        <v>6292</v>
      </c>
    </row>
    <row r="1497" spans="1:13" x14ac:dyDescent="0.25">
      <c r="A1497">
        <v>6422847</v>
      </c>
      <c r="B1497" t="s">
        <v>6293</v>
      </c>
      <c r="C1497" t="str">
        <f>"9783319450223"</f>
        <v>9783319450223</v>
      </c>
      <c r="D1497" t="str">
        <f>"9783319450230"</f>
        <v>9783319450230</v>
      </c>
      <c r="E1497" t="s">
        <v>2905</v>
      </c>
      <c r="F1497" s="1">
        <v>42748</v>
      </c>
      <c r="G1497" t="s">
        <v>6294</v>
      </c>
      <c r="H1497" t="s">
        <v>6295</v>
      </c>
      <c r="I1497" t="s">
        <v>4239</v>
      </c>
      <c r="L1497" t="s">
        <v>20</v>
      </c>
      <c r="M1497" t="s">
        <v>6296</v>
      </c>
    </row>
    <row r="1498" spans="1:13" x14ac:dyDescent="0.25">
      <c r="A1498">
        <v>6422848</v>
      </c>
      <c r="B1498" t="s">
        <v>5883</v>
      </c>
      <c r="C1498" t="str">
        <f>"9781484214565"</f>
        <v>9781484214565</v>
      </c>
      <c r="D1498" t="str">
        <f>"9781484214558"</f>
        <v>9781484214558</v>
      </c>
      <c r="E1498" t="s">
        <v>5036</v>
      </c>
      <c r="F1498" s="1">
        <v>42593</v>
      </c>
      <c r="G1498" t="s">
        <v>6297</v>
      </c>
      <c r="H1498" t="s">
        <v>712</v>
      </c>
      <c r="I1498" t="s">
        <v>5272</v>
      </c>
      <c r="L1498" t="s">
        <v>20</v>
      </c>
      <c r="M1498" t="s">
        <v>6298</v>
      </c>
    </row>
    <row r="1499" spans="1:13" x14ac:dyDescent="0.25">
      <c r="A1499">
        <v>6422850</v>
      </c>
      <c r="B1499" t="s">
        <v>6299</v>
      </c>
      <c r="C1499" t="str">
        <f>"9783319483658"</f>
        <v>9783319483658</v>
      </c>
      <c r="D1499" t="str">
        <f>"9783319483665"</f>
        <v>9783319483665</v>
      </c>
      <c r="E1499" t="s">
        <v>2905</v>
      </c>
      <c r="F1499" s="1">
        <v>42835</v>
      </c>
      <c r="G1499" t="s">
        <v>6300</v>
      </c>
      <c r="H1499" t="s">
        <v>30</v>
      </c>
      <c r="I1499" t="s">
        <v>5690</v>
      </c>
      <c r="L1499" t="s">
        <v>20</v>
      </c>
      <c r="M1499" t="s">
        <v>6301</v>
      </c>
    </row>
    <row r="1500" spans="1:13" x14ac:dyDescent="0.25">
      <c r="A1500">
        <v>6422851</v>
      </c>
      <c r="B1500" t="s">
        <v>6302</v>
      </c>
      <c r="C1500" t="str">
        <f>"9783319303291"</f>
        <v>9783319303291</v>
      </c>
      <c r="D1500" t="str">
        <f>"9783319303307"</f>
        <v>9783319303307</v>
      </c>
      <c r="E1500" t="s">
        <v>2905</v>
      </c>
      <c r="F1500" s="1">
        <v>42471</v>
      </c>
      <c r="G1500" t="s">
        <v>6303</v>
      </c>
      <c r="H1500" t="s">
        <v>266</v>
      </c>
      <c r="I1500" t="s">
        <v>6304</v>
      </c>
      <c r="J1500">
        <v>617.05799999999999</v>
      </c>
      <c r="L1500" t="s">
        <v>20</v>
      </c>
      <c r="M1500" t="s">
        <v>6305</v>
      </c>
    </row>
    <row r="1501" spans="1:13" x14ac:dyDescent="0.25">
      <c r="A1501">
        <v>6422852</v>
      </c>
      <c r="B1501" t="s">
        <v>6306</v>
      </c>
      <c r="C1501" t="str">
        <f>"9783319560670"</f>
        <v>9783319560670</v>
      </c>
      <c r="D1501" t="str">
        <f>"9783319560687"</f>
        <v>9783319560687</v>
      </c>
      <c r="E1501" t="s">
        <v>2905</v>
      </c>
      <c r="F1501" s="1">
        <v>43049</v>
      </c>
      <c r="G1501" t="s">
        <v>6307</v>
      </c>
      <c r="H1501" t="s">
        <v>4358</v>
      </c>
      <c r="I1501" t="s">
        <v>4623</v>
      </c>
      <c r="J1501">
        <v>276.08300000000003</v>
      </c>
      <c r="L1501" t="s">
        <v>20</v>
      </c>
      <c r="M1501" t="s">
        <v>6308</v>
      </c>
    </row>
    <row r="1502" spans="1:13" x14ac:dyDescent="0.25">
      <c r="A1502">
        <v>6422853</v>
      </c>
      <c r="B1502" t="s">
        <v>6309</v>
      </c>
      <c r="C1502" t="str">
        <f>"9783642369032"</f>
        <v>9783642369032</v>
      </c>
      <c r="D1502" t="str">
        <f>"9783642369049"</f>
        <v>9783642369049</v>
      </c>
      <c r="E1502" t="s">
        <v>4540</v>
      </c>
      <c r="F1502" s="1">
        <v>41499</v>
      </c>
      <c r="G1502" t="s">
        <v>6310</v>
      </c>
      <c r="H1502" t="s">
        <v>712</v>
      </c>
      <c r="I1502" t="s">
        <v>6117</v>
      </c>
      <c r="L1502" t="s">
        <v>20</v>
      </c>
      <c r="M1502" t="s">
        <v>6311</v>
      </c>
    </row>
    <row r="1503" spans="1:13" x14ac:dyDescent="0.25">
      <c r="A1503">
        <v>6422854</v>
      </c>
      <c r="B1503" t="s">
        <v>6312</v>
      </c>
      <c r="C1503" t="str">
        <f>"9783030520168"</f>
        <v>9783030520168</v>
      </c>
      <c r="D1503" t="str">
        <f>"9783030520175"</f>
        <v>9783030520175</v>
      </c>
      <c r="E1503" t="s">
        <v>2905</v>
      </c>
      <c r="F1503" s="1">
        <v>44175</v>
      </c>
      <c r="G1503" t="s">
        <v>6313</v>
      </c>
      <c r="H1503" t="s">
        <v>5453</v>
      </c>
      <c r="I1503" t="s">
        <v>6314</v>
      </c>
      <c r="L1503" t="s">
        <v>20</v>
      </c>
      <c r="M1503" t="s">
        <v>6315</v>
      </c>
    </row>
    <row r="1504" spans="1:13" x14ac:dyDescent="0.25">
      <c r="A1504">
        <v>6422855</v>
      </c>
      <c r="B1504" t="s">
        <v>6316</v>
      </c>
      <c r="C1504" t="str">
        <f>"9784431558200"</f>
        <v>9784431558200</v>
      </c>
      <c r="D1504" t="str">
        <f>"9784431558224"</f>
        <v>9784431558224</v>
      </c>
      <c r="E1504" t="s">
        <v>4510</v>
      </c>
      <c r="F1504" s="1">
        <v>42398</v>
      </c>
      <c r="G1504" t="s">
        <v>6317</v>
      </c>
      <c r="H1504" t="s">
        <v>6318</v>
      </c>
      <c r="I1504" t="s">
        <v>4615</v>
      </c>
      <c r="J1504">
        <v>621.48350000000005</v>
      </c>
      <c r="L1504" t="s">
        <v>20</v>
      </c>
      <c r="M1504" t="s">
        <v>6319</v>
      </c>
    </row>
    <row r="1505" spans="1:13" x14ac:dyDescent="0.25">
      <c r="A1505">
        <v>6422856</v>
      </c>
      <c r="B1505" t="s">
        <v>6320</v>
      </c>
      <c r="C1505" t="str">
        <f>"9783319269399"</f>
        <v>9783319269399</v>
      </c>
      <c r="D1505" t="str">
        <f>"9783319269405"</f>
        <v>9783319269405</v>
      </c>
      <c r="E1505" t="s">
        <v>2905</v>
      </c>
      <c r="F1505" s="1">
        <v>42473</v>
      </c>
      <c r="G1505" t="s">
        <v>6321</v>
      </c>
      <c r="H1505" t="s">
        <v>1753</v>
      </c>
      <c r="I1505" t="s">
        <v>4753</v>
      </c>
      <c r="L1505" t="s">
        <v>20</v>
      </c>
      <c r="M1505" t="s">
        <v>6322</v>
      </c>
    </row>
    <row r="1506" spans="1:13" x14ac:dyDescent="0.25">
      <c r="A1506">
        <v>6422857</v>
      </c>
      <c r="B1506" t="s">
        <v>6323</v>
      </c>
      <c r="C1506" t="str">
        <f>"9783319699288"</f>
        <v>9783319699288</v>
      </c>
      <c r="D1506" t="str">
        <f>"9783319699295"</f>
        <v>9783319699295</v>
      </c>
      <c r="E1506" t="s">
        <v>2905</v>
      </c>
      <c r="F1506" s="1">
        <v>43150</v>
      </c>
      <c r="G1506" t="s">
        <v>6324</v>
      </c>
      <c r="H1506" t="s">
        <v>6325</v>
      </c>
      <c r="I1506" t="s">
        <v>4251</v>
      </c>
      <c r="J1506">
        <v>507.20600000000002</v>
      </c>
      <c r="L1506" t="s">
        <v>20</v>
      </c>
      <c r="M1506" t="s">
        <v>6326</v>
      </c>
    </row>
    <row r="1507" spans="1:13" x14ac:dyDescent="0.25">
      <c r="A1507">
        <v>6422859</v>
      </c>
      <c r="B1507" t="s">
        <v>6327</v>
      </c>
      <c r="C1507" t="str">
        <f>"9783319433486"</f>
        <v>9783319433486</v>
      </c>
      <c r="D1507" t="str">
        <f>"9783319433509"</f>
        <v>9783319433509</v>
      </c>
      <c r="E1507" t="s">
        <v>2905</v>
      </c>
      <c r="F1507" s="1">
        <v>42676</v>
      </c>
      <c r="G1507" t="s">
        <v>6328</v>
      </c>
      <c r="H1507" t="s">
        <v>6329</v>
      </c>
      <c r="I1507" t="s">
        <v>5367</v>
      </c>
      <c r="J1507">
        <v>333.9117</v>
      </c>
      <c r="L1507" t="s">
        <v>20</v>
      </c>
      <c r="M1507" t="s">
        <v>6330</v>
      </c>
    </row>
    <row r="1508" spans="1:13" x14ac:dyDescent="0.25">
      <c r="A1508">
        <v>6422860</v>
      </c>
      <c r="B1508" t="s">
        <v>6331</v>
      </c>
      <c r="C1508" t="str">
        <f>"9783319697895"</f>
        <v>9783319697895</v>
      </c>
      <c r="D1508" t="str">
        <f>"9783319697901"</f>
        <v>9783319697901</v>
      </c>
      <c r="E1508" t="s">
        <v>2905</v>
      </c>
      <c r="F1508" s="1">
        <v>43112</v>
      </c>
      <c r="G1508" t="s">
        <v>6332</v>
      </c>
      <c r="H1508" t="s">
        <v>6333</v>
      </c>
      <c r="I1508" t="s">
        <v>4753</v>
      </c>
      <c r="J1508">
        <v>327.47050000000002</v>
      </c>
      <c r="L1508" t="s">
        <v>20</v>
      </c>
      <c r="M1508" t="s">
        <v>6334</v>
      </c>
    </row>
    <row r="1509" spans="1:13" x14ac:dyDescent="0.25">
      <c r="A1509">
        <v>6422861</v>
      </c>
      <c r="B1509" t="s">
        <v>6335</v>
      </c>
      <c r="C1509" t="str">
        <f>"9783319285207"</f>
        <v>9783319285207</v>
      </c>
      <c r="D1509" t="str">
        <f>"9783319285214"</f>
        <v>9783319285214</v>
      </c>
      <c r="E1509" t="s">
        <v>2905</v>
      </c>
      <c r="F1509" s="1">
        <v>42500</v>
      </c>
      <c r="G1509" t="s">
        <v>6336</v>
      </c>
      <c r="H1509" t="s">
        <v>6337</v>
      </c>
      <c r="I1509" t="s">
        <v>4239</v>
      </c>
      <c r="L1509" t="s">
        <v>20</v>
      </c>
      <c r="M1509" t="s">
        <v>6338</v>
      </c>
    </row>
    <row r="1510" spans="1:13" x14ac:dyDescent="0.25">
      <c r="A1510">
        <v>6422862</v>
      </c>
      <c r="B1510" t="s">
        <v>6339</v>
      </c>
      <c r="C1510" t="str">
        <f>"9783319656328"</f>
        <v>9783319656328</v>
      </c>
      <c r="D1510" t="str">
        <f>"9783319656335"</f>
        <v>9783319656335</v>
      </c>
      <c r="E1510" t="s">
        <v>2905</v>
      </c>
      <c r="F1510" s="1">
        <v>43131</v>
      </c>
      <c r="G1510" t="s">
        <v>6340</v>
      </c>
      <c r="H1510" t="s">
        <v>5236</v>
      </c>
      <c r="I1510" t="s">
        <v>5237</v>
      </c>
      <c r="L1510" t="s">
        <v>20</v>
      </c>
      <c r="M1510" t="s">
        <v>6341</v>
      </c>
    </row>
    <row r="1511" spans="1:13" x14ac:dyDescent="0.25">
      <c r="A1511">
        <v>6422863</v>
      </c>
      <c r="B1511" t="s">
        <v>6342</v>
      </c>
      <c r="C1511" t="str">
        <f>"9783319628691"</f>
        <v>9783319628691</v>
      </c>
      <c r="D1511" t="str">
        <f>"9783319628707"</f>
        <v>9783319628707</v>
      </c>
      <c r="E1511" t="s">
        <v>2905</v>
      </c>
      <c r="F1511" s="1">
        <v>43074</v>
      </c>
      <c r="G1511" t="s">
        <v>6343</v>
      </c>
      <c r="H1511" t="s">
        <v>6344</v>
      </c>
      <c r="I1511" t="s">
        <v>5668</v>
      </c>
      <c r="J1511">
        <v>507.2</v>
      </c>
      <c r="L1511" t="s">
        <v>20</v>
      </c>
      <c r="M1511" t="s">
        <v>6345</v>
      </c>
    </row>
    <row r="1512" spans="1:13" x14ac:dyDescent="0.25">
      <c r="A1512">
        <v>6422864</v>
      </c>
      <c r="B1512" t="s">
        <v>6346</v>
      </c>
      <c r="C1512" t="str">
        <f>"9783319301198"</f>
        <v>9783319301198</v>
      </c>
      <c r="D1512" t="str">
        <f>"9783319301204"</f>
        <v>9783319301204</v>
      </c>
      <c r="E1512" t="s">
        <v>2905</v>
      </c>
      <c r="F1512" s="1">
        <v>42473</v>
      </c>
      <c r="G1512" t="s">
        <v>6347</v>
      </c>
      <c r="H1512" t="s">
        <v>1178</v>
      </c>
      <c r="I1512" t="s">
        <v>4084</v>
      </c>
      <c r="J1512">
        <v>510</v>
      </c>
      <c r="L1512" t="s">
        <v>20</v>
      </c>
      <c r="M1512" t="s">
        <v>6348</v>
      </c>
    </row>
    <row r="1513" spans="1:13" x14ac:dyDescent="0.25">
      <c r="A1513">
        <v>6422866</v>
      </c>
      <c r="B1513" t="s">
        <v>6349</v>
      </c>
      <c r="C1513" t="str">
        <f>"9783319096643"</f>
        <v>9783319096643</v>
      </c>
      <c r="D1513" t="str">
        <f>"9783319096650"</f>
        <v>9783319096650</v>
      </c>
      <c r="E1513" t="s">
        <v>2905</v>
      </c>
      <c r="F1513" s="1">
        <v>42017</v>
      </c>
      <c r="G1513" t="s">
        <v>6350</v>
      </c>
      <c r="H1513" t="s">
        <v>6351</v>
      </c>
      <c r="I1513" t="s">
        <v>6352</v>
      </c>
      <c r="J1513">
        <v>612.12</v>
      </c>
      <c r="L1513" t="s">
        <v>20</v>
      </c>
      <c r="M1513" t="s">
        <v>6353</v>
      </c>
    </row>
    <row r="1514" spans="1:13" x14ac:dyDescent="0.25">
      <c r="A1514">
        <v>6422869</v>
      </c>
      <c r="B1514" t="s">
        <v>6354</v>
      </c>
      <c r="C1514" t="str">
        <f>"9783319456195"</f>
        <v>9783319456195</v>
      </c>
      <c r="D1514" t="str">
        <f>"9783319456201"</f>
        <v>9783319456201</v>
      </c>
      <c r="E1514" t="s">
        <v>2905</v>
      </c>
      <c r="F1514" s="1">
        <v>42676</v>
      </c>
      <c r="G1514" t="s">
        <v>6321</v>
      </c>
      <c r="H1514" t="s">
        <v>1753</v>
      </c>
      <c r="I1514" t="s">
        <v>4753</v>
      </c>
      <c r="L1514" t="s">
        <v>20</v>
      </c>
      <c r="M1514" t="s">
        <v>6355</v>
      </c>
    </row>
    <row r="1515" spans="1:13" x14ac:dyDescent="0.25">
      <c r="A1515">
        <v>6422870</v>
      </c>
      <c r="B1515" t="s">
        <v>6356</v>
      </c>
      <c r="C1515" t="str">
        <f>"9789811008856"</f>
        <v>9789811008856</v>
      </c>
      <c r="D1515" t="str">
        <f>"9789811008863"</f>
        <v>9789811008863</v>
      </c>
      <c r="E1515" t="s">
        <v>4099</v>
      </c>
      <c r="F1515" s="1">
        <v>42572</v>
      </c>
      <c r="G1515" t="s">
        <v>6357</v>
      </c>
      <c r="H1515" t="s">
        <v>6358</v>
      </c>
      <c r="I1515" t="s">
        <v>5396</v>
      </c>
      <c r="J1515">
        <v>69.094999999999999</v>
      </c>
      <c r="L1515" t="s">
        <v>20</v>
      </c>
      <c r="M1515" t="s">
        <v>6359</v>
      </c>
    </row>
    <row r="1516" spans="1:13" x14ac:dyDescent="0.25">
      <c r="A1516">
        <v>6422872</v>
      </c>
      <c r="B1516" t="s">
        <v>6360</v>
      </c>
      <c r="C1516" t="str">
        <f>"9783658061944"</f>
        <v>9783658061944</v>
      </c>
      <c r="D1516" t="str">
        <f>"9783658064303"</f>
        <v>9783658064303</v>
      </c>
      <c r="E1516" t="s">
        <v>4472</v>
      </c>
      <c r="F1516" s="1">
        <v>41904</v>
      </c>
      <c r="G1516" t="s">
        <v>6361</v>
      </c>
      <c r="H1516" t="s">
        <v>5623</v>
      </c>
      <c r="I1516" t="s">
        <v>5419</v>
      </c>
      <c r="L1516" t="s">
        <v>20</v>
      </c>
      <c r="M1516" t="s">
        <v>6362</v>
      </c>
    </row>
    <row r="1517" spans="1:13" x14ac:dyDescent="0.25">
      <c r="A1517">
        <v>6422875</v>
      </c>
      <c r="B1517" t="s">
        <v>6363</v>
      </c>
      <c r="C1517" t="str">
        <f>"9783319205908"</f>
        <v>9783319205908</v>
      </c>
      <c r="D1517" t="str">
        <f>"9783319205915"</f>
        <v>9783319205915</v>
      </c>
      <c r="E1517" t="s">
        <v>2905</v>
      </c>
      <c r="F1517" s="1">
        <v>42290</v>
      </c>
      <c r="G1517" t="s">
        <v>6364</v>
      </c>
      <c r="H1517" t="s">
        <v>4180</v>
      </c>
      <c r="I1517" t="s">
        <v>6365</v>
      </c>
      <c r="L1517" t="s">
        <v>20</v>
      </c>
      <c r="M1517" t="s">
        <v>6366</v>
      </c>
    </row>
    <row r="1518" spans="1:13" x14ac:dyDescent="0.25">
      <c r="A1518">
        <v>6422876</v>
      </c>
      <c r="B1518" t="s">
        <v>6367</v>
      </c>
      <c r="C1518" t="str">
        <f>"9783319152776"</f>
        <v>9783319152776</v>
      </c>
      <c r="D1518" t="str">
        <f>"9783319152783"</f>
        <v>9783319152783</v>
      </c>
      <c r="E1518" t="s">
        <v>2905</v>
      </c>
      <c r="F1518" s="1">
        <v>42180</v>
      </c>
      <c r="G1518" t="s">
        <v>6368</v>
      </c>
      <c r="H1518" t="s">
        <v>363</v>
      </c>
      <c r="I1518" t="s">
        <v>5090</v>
      </c>
      <c r="J1518">
        <v>374</v>
      </c>
      <c r="L1518" t="s">
        <v>20</v>
      </c>
      <c r="M1518" t="s">
        <v>6369</v>
      </c>
    </row>
    <row r="1519" spans="1:13" x14ac:dyDescent="0.25">
      <c r="A1519">
        <v>6422877</v>
      </c>
      <c r="B1519" t="s">
        <v>6370</v>
      </c>
      <c r="C1519" t="str">
        <f>"9783319697710"</f>
        <v>9783319697710</v>
      </c>
      <c r="D1519" t="str">
        <f>"9783319697727"</f>
        <v>9783319697727</v>
      </c>
      <c r="E1519" t="s">
        <v>2905</v>
      </c>
      <c r="F1519" s="1">
        <v>43131</v>
      </c>
      <c r="G1519" t="s">
        <v>6371</v>
      </c>
      <c r="H1519" t="s">
        <v>169</v>
      </c>
      <c r="I1519" t="s">
        <v>6372</v>
      </c>
      <c r="J1519">
        <v>339.52094849999997</v>
      </c>
      <c r="L1519" t="s">
        <v>20</v>
      </c>
      <c r="M1519" t="s">
        <v>6373</v>
      </c>
    </row>
    <row r="1520" spans="1:13" x14ac:dyDescent="0.25">
      <c r="A1520">
        <v>6422878</v>
      </c>
      <c r="B1520" t="s">
        <v>6374</v>
      </c>
      <c r="C1520" t="str">
        <f>"9783662459140"</f>
        <v>9783662459140</v>
      </c>
      <c r="D1520" t="str">
        <f>"9783662459157"</f>
        <v>9783662459157</v>
      </c>
      <c r="E1520" t="s">
        <v>4540</v>
      </c>
      <c r="F1520" s="1">
        <v>41995</v>
      </c>
      <c r="G1520" t="s">
        <v>6375</v>
      </c>
      <c r="H1520" t="s">
        <v>4465</v>
      </c>
      <c r="I1520" t="s">
        <v>5167</v>
      </c>
      <c r="L1520" t="s">
        <v>291</v>
      </c>
      <c r="M1520" t="s">
        <v>6376</v>
      </c>
    </row>
    <row r="1521" spans="1:13" x14ac:dyDescent="0.25">
      <c r="A1521">
        <v>6422879</v>
      </c>
      <c r="B1521" t="s">
        <v>6377</v>
      </c>
      <c r="C1521" t="str">
        <f>"9789811075476"</f>
        <v>9789811075476</v>
      </c>
      <c r="D1521" t="str">
        <f>"9789811075483"</f>
        <v>9789811075483</v>
      </c>
      <c r="E1521" t="s">
        <v>4099</v>
      </c>
      <c r="F1521" s="1">
        <v>43143</v>
      </c>
      <c r="G1521" t="s">
        <v>6378</v>
      </c>
      <c r="H1521" t="s">
        <v>6379</v>
      </c>
      <c r="I1521" t="s">
        <v>5676</v>
      </c>
      <c r="J1521">
        <v>622.28</v>
      </c>
      <c r="L1521" t="s">
        <v>20</v>
      </c>
      <c r="M1521" t="s">
        <v>6380</v>
      </c>
    </row>
    <row r="1522" spans="1:13" x14ac:dyDescent="0.25">
      <c r="A1522">
        <v>6422880</v>
      </c>
      <c r="B1522" t="s">
        <v>6381</v>
      </c>
      <c r="C1522" t="str">
        <f>"9783662586556"</f>
        <v>9783662586556</v>
      </c>
      <c r="D1522" t="str">
        <f>"9783662586563"</f>
        <v>9783662586563</v>
      </c>
      <c r="E1522" t="s">
        <v>4540</v>
      </c>
      <c r="F1522" s="1">
        <v>43767</v>
      </c>
      <c r="G1522" t="s">
        <v>6382</v>
      </c>
      <c r="H1522" t="s">
        <v>239</v>
      </c>
      <c r="I1522" t="s">
        <v>6383</v>
      </c>
      <c r="L1522" t="s">
        <v>291</v>
      </c>
      <c r="M1522" t="s">
        <v>6384</v>
      </c>
    </row>
    <row r="1523" spans="1:13" x14ac:dyDescent="0.25">
      <c r="A1523">
        <v>6422881</v>
      </c>
      <c r="B1523" t="s">
        <v>6385</v>
      </c>
      <c r="C1523" t="str">
        <f>"9783319654324"</f>
        <v>9783319654324</v>
      </c>
      <c r="D1523" t="str">
        <f>"9783319654331"</f>
        <v>9783319654331</v>
      </c>
      <c r="E1523" t="s">
        <v>2905</v>
      </c>
      <c r="F1523" s="1">
        <v>43031</v>
      </c>
      <c r="G1523" t="s">
        <v>6386</v>
      </c>
      <c r="H1523" t="s">
        <v>1753</v>
      </c>
      <c r="I1523" t="s">
        <v>4609</v>
      </c>
      <c r="L1523" t="s">
        <v>20</v>
      </c>
      <c r="M1523" t="s">
        <v>6387</v>
      </c>
    </row>
    <row r="1524" spans="1:13" x14ac:dyDescent="0.25">
      <c r="A1524">
        <v>6422882</v>
      </c>
      <c r="B1524" t="s">
        <v>6388</v>
      </c>
      <c r="C1524" t="str">
        <f>"9783662604861"</f>
        <v>9783662604861</v>
      </c>
      <c r="D1524" t="str">
        <f>"9783662604878"</f>
        <v>9783662604878</v>
      </c>
      <c r="E1524" t="s">
        <v>4540</v>
      </c>
      <c r="F1524" s="1">
        <v>43910</v>
      </c>
      <c r="G1524" t="s">
        <v>6389</v>
      </c>
      <c r="H1524" t="s">
        <v>1624</v>
      </c>
      <c r="I1524" t="s">
        <v>5389</v>
      </c>
      <c r="L1524" t="s">
        <v>291</v>
      </c>
      <c r="M1524" t="s">
        <v>6390</v>
      </c>
    </row>
    <row r="1525" spans="1:13" x14ac:dyDescent="0.25">
      <c r="A1525">
        <v>6422883</v>
      </c>
      <c r="B1525" t="s">
        <v>6391</v>
      </c>
      <c r="C1525" t="str">
        <f>"9783319954196"</f>
        <v>9783319954196</v>
      </c>
      <c r="D1525" t="str">
        <f>"9783319954202"</f>
        <v>9783319954202</v>
      </c>
      <c r="E1525" t="s">
        <v>2905</v>
      </c>
      <c r="F1525" s="1">
        <v>43402</v>
      </c>
      <c r="G1525" t="s">
        <v>6392</v>
      </c>
      <c r="H1525" t="s">
        <v>64</v>
      </c>
      <c r="I1525" t="s">
        <v>5512</v>
      </c>
      <c r="L1525" t="s">
        <v>20</v>
      </c>
      <c r="M1525" t="s">
        <v>6393</v>
      </c>
    </row>
    <row r="1526" spans="1:13" x14ac:dyDescent="0.25">
      <c r="A1526">
        <v>6422884</v>
      </c>
      <c r="B1526" t="s">
        <v>6394</v>
      </c>
      <c r="C1526" t="str">
        <f>"9781137506795"</f>
        <v>9781137506795</v>
      </c>
      <c r="D1526" t="str">
        <f>"9781137506801"</f>
        <v>9781137506801</v>
      </c>
      <c r="E1526" t="s">
        <v>4626</v>
      </c>
      <c r="F1526" s="1">
        <v>42251</v>
      </c>
      <c r="G1526" t="s">
        <v>6395</v>
      </c>
      <c r="H1526" t="s">
        <v>6396</v>
      </c>
      <c r="I1526" t="s">
        <v>6397</v>
      </c>
      <c r="J1526" t="s">
        <v>6398</v>
      </c>
      <c r="L1526" t="s">
        <v>20</v>
      </c>
      <c r="M1526" t="s">
        <v>6399</v>
      </c>
    </row>
    <row r="1527" spans="1:13" x14ac:dyDescent="0.25">
      <c r="A1527">
        <v>6422885</v>
      </c>
      <c r="B1527" t="s">
        <v>6400</v>
      </c>
      <c r="C1527" t="str">
        <f>"9783662602959"</f>
        <v>9783662602959</v>
      </c>
      <c r="D1527" t="str">
        <f>"9783662602966"</f>
        <v>9783662602966</v>
      </c>
      <c r="E1527" t="s">
        <v>4540</v>
      </c>
      <c r="F1527" s="1">
        <v>43860</v>
      </c>
      <c r="G1527" t="s">
        <v>6401</v>
      </c>
      <c r="H1527" t="s">
        <v>2623</v>
      </c>
      <c r="I1527" t="s">
        <v>5175</v>
      </c>
      <c r="L1527" t="s">
        <v>291</v>
      </c>
      <c r="M1527" t="s">
        <v>6402</v>
      </c>
    </row>
    <row r="1528" spans="1:13" x14ac:dyDescent="0.25">
      <c r="A1528">
        <v>6422886</v>
      </c>
      <c r="B1528" t="s">
        <v>6403</v>
      </c>
      <c r="C1528" t="str">
        <f>"9783319535005"</f>
        <v>9783319535005</v>
      </c>
      <c r="D1528" t="str">
        <f>"9783319594699"</f>
        <v>9783319594699</v>
      </c>
      <c r="E1528" t="s">
        <v>2905</v>
      </c>
      <c r="F1528" s="1">
        <v>42872</v>
      </c>
      <c r="G1528" t="s">
        <v>6404</v>
      </c>
      <c r="H1528" t="s">
        <v>3355</v>
      </c>
      <c r="I1528" t="s">
        <v>6405</v>
      </c>
      <c r="L1528" t="s">
        <v>20</v>
      </c>
      <c r="M1528" t="s">
        <v>6406</v>
      </c>
    </row>
    <row r="1529" spans="1:13" x14ac:dyDescent="0.25">
      <c r="A1529">
        <v>6422887</v>
      </c>
      <c r="B1529" t="s">
        <v>6407</v>
      </c>
      <c r="C1529" t="str">
        <f>"9783662528532"</f>
        <v>9783662528532</v>
      </c>
      <c r="D1529" t="str">
        <f>"9783662528549"</f>
        <v>9783662528549</v>
      </c>
      <c r="E1529" t="s">
        <v>4540</v>
      </c>
      <c r="F1529" s="1">
        <v>42650</v>
      </c>
      <c r="G1529" t="s">
        <v>5192</v>
      </c>
      <c r="H1529" t="s">
        <v>5453</v>
      </c>
      <c r="I1529" t="s">
        <v>5454</v>
      </c>
      <c r="L1529" t="s">
        <v>291</v>
      </c>
      <c r="M1529" t="s">
        <v>6408</v>
      </c>
    </row>
    <row r="1530" spans="1:13" x14ac:dyDescent="0.25">
      <c r="A1530">
        <v>6422889</v>
      </c>
      <c r="B1530" t="s">
        <v>6409</v>
      </c>
      <c r="C1530" t="str">
        <f>"9783658291662"</f>
        <v>9783658291662</v>
      </c>
      <c r="D1530" t="str">
        <f>"9783658291679"</f>
        <v>9783658291679</v>
      </c>
      <c r="E1530" t="s">
        <v>4472</v>
      </c>
      <c r="F1530" s="1">
        <v>43860</v>
      </c>
      <c r="G1530" t="s">
        <v>6410</v>
      </c>
      <c r="H1530" t="s">
        <v>1753</v>
      </c>
      <c r="I1530" t="s">
        <v>4474</v>
      </c>
      <c r="L1530" t="s">
        <v>291</v>
      </c>
      <c r="M1530" t="s">
        <v>6411</v>
      </c>
    </row>
    <row r="1531" spans="1:13" x14ac:dyDescent="0.25">
      <c r="A1531">
        <v>6422890</v>
      </c>
      <c r="B1531" t="s">
        <v>6412</v>
      </c>
      <c r="C1531" t="str">
        <f>"9789811049552"</f>
        <v>9789811049552</v>
      </c>
      <c r="D1531" t="str">
        <f>"9789811049569"</f>
        <v>9789811049569</v>
      </c>
      <c r="E1531" t="s">
        <v>4099</v>
      </c>
      <c r="F1531" s="1">
        <v>42992</v>
      </c>
      <c r="G1531" t="s">
        <v>6413</v>
      </c>
      <c r="H1531" t="s">
        <v>2614</v>
      </c>
      <c r="I1531" t="s">
        <v>6414</v>
      </c>
      <c r="L1531" t="s">
        <v>20</v>
      </c>
      <c r="M1531" t="s">
        <v>6415</v>
      </c>
    </row>
    <row r="1532" spans="1:13" x14ac:dyDescent="0.25">
      <c r="A1532">
        <v>6422891</v>
      </c>
      <c r="B1532" t="s">
        <v>6416</v>
      </c>
      <c r="C1532" t="str">
        <f>"9783662492635"</f>
        <v>9783662492635</v>
      </c>
      <c r="D1532" t="str">
        <f>"9783662492642"</f>
        <v>9783662492642</v>
      </c>
      <c r="E1532" t="s">
        <v>4540</v>
      </c>
      <c r="F1532" s="1">
        <v>42429</v>
      </c>
      <c r="G1532" t="s">
        <v>6417</v>
      </c>
      <c r="H1532" t="s">
        <v>1753</v>
      </c>
      <c r="I1532" t="s">
        <v>4588</v>
      </c>
      <c r="L1532" t="s">
        <v>291</v>
      </c>
      <c r="M1532" t="s">
        <v>6418</v>
      </c>
    </row>
    <row r="1533" spans="1:13" x14ac:dyDescent="0.25">
      <c r="A1533">
        <v>6422893</v>
      </c>
      <c r="B1533" t="s">
        <v>6419</v>
      </c>
      <c r="C1533" t="str">
        <f>"9783319234243"</f>
        <v>9783319234243</v>
      </c>
      <c r="D1533" t="str">
        <f>"9783319234250"</f>
        <v>9783319234250</v>
      </c>
      <c r="E1533" t="s">
        <v>2905</v>
      </c>
      <c r="F1533" s="1">
        <v>42318</v>
      </c>
      <c r="G1533" t="s">
        <v>6420</v>
      </c>
      <c r="H1533" t="s">
        <v>6421</v>
      </c>
      <c r="I1533" t="s">
        <v>4478</v>
      </c>
      <c r="J1533">
        <v>332.01175999999998</v>
      </c>
      <c r="L1533" t="s">
        <v>20</v>
      </c>
      <c r="M1533" t="s">
        <v>6422</v>
      </c>
    </row>
    <row r="1534" spans="1:13" x14ac:dyDescent="0.25">
      <c r="A1534">
        <v>6422895</v>
      </c>
      <c r="B1534" t="s">
        <v>6423</v>
      </c>
      <c r="C1534" t="str">
        <f>"9789400770607"</f>
        <v>9789400770607</v>
      </c>
      <c r="D1534" t="str">
        <f>"9789400770614"</f>
        <v>9789400770614</v>
      </c>
      <c r="E1534" t="s">
        <v>4612</v>
      </c>
      <c r="F1534" s="1">
        <v>41515</v>
      </c>
      <c r="G1534" t="s">
        <v>6424</v>
      </c>
      <c r="H1534" t="s">
        <v>3247</v>
      </c>
      <c r="I1534" t="s">
        <v>4615</v>
      </c>
      <c r="J1534">
        <v>305.56</v>
      </c>
      <c r="L1534" t="s">
        <v>20</v>
      </c>
      <c r="M1534" t="s">
        <v>6425</v>
      </c>
    </row>
    <row r="1535" spans="1:13" x14ac:dyDescent="0.25">
      <c r="A1535">
        <v>6422896</v>
      </c>
      <c r="B1535" t="s">
        <v>6426</v>
      </c>
      <c r="C1535" t="str">
        <f>"9789811040528"</f>
        <v>9789811040528</v>
      </c>
      <c r="D1535" t="str">
        <f>"9789811040535"</f>
        <v>9789811040535</v>
      </c>
      <c r="E1535" t="s">
        <v>4099</v>
      </c>
      <c r="F1535" s="1">
        <v>43090</v>
      </c>
      <c r="G1535" t="s">
        <v>6427</v>
      </c>
      <c r="H1535" t="s">
        <v>232</v>
      </c>
      <c r="I1535" t="s">
        <v>6428</v>
      </c>
      <c r="J1535">
        <v>901</v>
      </c>
      <c r="L1535" t="s">
        <v>20</v>
      </c>
      <c r="M1535" t="s">
        <v>6429</v>
      </c>
    </row>
    <row r="1536" spans="1:13" x14ac:dyDescent="0.25">
      <c r="A1536">
        <v>6422897</v>
      </c>
      <c r="B1536" t="s">
        <v>6430</v>
      </c>
      <c r="C1536" t="str">
        <f>"9783030456221"</f>
        <v>9783030456221</v>
      </c>
      <c r="D1536" t="str">
        <f>"9783030456238"</f>
        <v>9783030456238</v>
      </c>
      <c r="E1536" t="s">
        <v>2905</v>
      </c>
      <c r="F1536" s="1">
        <v>44049</v>
      </c>
      <c r="G1536" t="s">
        <v>6431</v>
      </c>
      <c r="H1536" t="s">
        <v>266</v>
      </c>
      <c r="I1536" t="s">
        <v>6304</v>
      </c>
      <c r="L1536" t="s">
        <v>20</v>
      </c>
      <c r="M1536" t="s">
        <v>6432</v>
      </c>
    </row>
    <row r="1537" spans="1:13" x14ac:dyDescent="0.25">
      <c r="A1537">
        <v>6422898</v>
      </c>
      <c r="B1537" t="s">
        <v>6433</v>
      </c>
      <c r="C1537" t="str">
        <f>"9783030528805"</f>
        <v>9783030528805</v>
      </c>
      <c r="D1537" t="str">
        <f>"9783030528812"</f>
        <v>9783030528812</v>
      </c>
      <c r="E1537" t="s">
        <v>2905</v>
      </c>
      <c r="F1537" s="1">
        <v>44173</v>
      </c>
      <c r="G1537" t="s">
        <v>6434</v>
      </c>
      <c r="H1537" t="s">
        <v>1753</v>
      </c>
      <c r="I1537" t="s">
        <v>6435</v>
      </c>
      <c r="L1537" t="s">
        <v>20</v>
      </c>
      <c r="M1537" t="s">
        <v>6436</v>
      </c>
    </row>
    <row r="1538" spans="1:13" x14ac:dyDescent="0.25">
      <c r="A1538">
        <v>6422899</v>
      </c>
      <c r="B1538" t="s">
        <v>6437</v>
      </c>
      <c r="C1538" t="str">
        <f>"9783319916880"</f>
        <v>9783319916880</v>
      </c>
      <c r="D1538" t="str">
        <f>"9783319916897"</f>
        <v>9783319916897</v>
      </c>
      <c r="E1538" t="s">
        <v>2905</v>
      </c>
      <c r="F1538" s="1">
        <v>43431</v>
      </c>
      <c r="G1538" t="s">
        <v>6438</v>
      </c>
      <c r="H1538" t="s">
        <v>1116</v>
      </c>
      <c r="I1538" t="s">
        <v>6439</v>
      </c>
      <c r="L1538" t="s">
        <v>20</v>
      </c>
      <c r="M1538" t="s">
        <v>6440</v>
      </c>
    </row>
    <row r="1539" spans="1:13" x14ac:dyDescent="0.25">
      <c r="A1539">
        <v>6422900</v>
      </c>
      <c r="B1539" t="s">
        <v>6441</v>
      </c>
      <c r="C1539" t="str">
        <f>"9783319426105"</f>
        <v>9783319426105</v>
      </c>
      <c r="D1539" t="str">
        <f>"9783319426112"</f>
        <v>9783319426112</v>
      </c>
      <c r="E1539" t="s">
        <v>2905</v>
      </c>
      <c r="F1539" s="1">
        <v>42692</v>
      </c>
      <c r="G1539" t="s">
        <v>6442</v>
      </c>
      <c r="H1539" t="s">
        <v>1178</v>
      </c>
      <c r="I1539" t="s">
        <v>4084</v>
      </c>
      <c r="J1539">
        <v>510.71199999999999</v>
      </c>
      <c r="L1539" t="s">
        <v>20</v>
      </c>
      <c r="M1539" t="s">
        <v>6443</v>
      </c>
    </row>
    <row r="1540" spans="1:13" x14ac:dyDescent="0.25">
      <c r="A1540">
        <v>6422901</v>
      </c>
      <c r="B1540" t="s">
        <v>6444</v>
      </c>
      <c r="C1540" t="str">
        <f>"9783319157917"</f>
        <v>9783319157917</v>
      </c>
      <c r="D1540" t="str">
        <f>"9783319161044"</f>
        <v>9783319161044</v>
      </c>
      <c r="E1540" t="s">
        <v>2905</v>
      </c>
      <c r="F1540" s="1">
        <v>42143</v>
      </c>
      <c r="G1540" t="s">
        <v>6445</v>
      </c>
      <c r="H1540" t="s">
        <v>2603</v>
      </c>
      <c r="I1540" t="s">
        <v>4646</v>
      </c>
      <c r="L1540" t="s">
        <v>20</v>
      </c>
      <c r="M1540" t="s">
        <v>6446</v>
      </c>
    </row>
    <row r="1541" spans="1:13" x14ac:dyDescent="0.25">
      <c r="A1541">
        <v>6422902</v>
      </c>
      <c r="B1541" t="s">
        <v>6447</v>
      </c>
      <c r="C1541" t="str">
        <f>"9783642208973"</f>
        <v>9783642208973</v>
      </c>
      <c r="D1541" t="str">
        <f>"9783642208980"</f>
        <v>9783642208980</v>
      </c>
      <c r="E1541" t="s">
        <v>4540</v>
      </c>
      <c r="F1541" s="1">
        <v>40673</v>
      </c>
      <c r="G1541" t="s">
        <v>6448</v>
      </c>
      <c r="H1541" t="s">
        <v>712</v>
      </c>
      <c r="I1541" t="s">
        <v>5426</v>
      </c>
      <c r="J1541">
        <v>4.6779999999999999</v>
      </c>
      <c r="L1541" t="s">
        <v>20</v>
      </c>
      <c r="M1541" t="s">
        <v>6449</v>
      </c>
    </row>
    <row r="1542" spans="1:13" x14ac:dyDescent="0.25">
      <c r="A1542">
        <v>6422903</v>
      </c>
      <c r="B1542" t="s">
        <v>6450</v>
      </c>
      <c r="C1542" t="str">
        <f>"9783662553787"</f>
        <v>9783662553787</v>
      </c>
      <c r="D1542" t="str">
        <f>"9783662553794"</f>
        <v>9783662553794</v>
      </c>
      <c r="E1542" t="s">
        <v>4540</v>
      </c>
      <c r="F1542" s="1">
        <v>43041</v>
      </c>
      <c r="G1542" t="s">
        <v>6451</v>
      </c>
      <c r="H1542" t="s">
        <v>83</v>
      </c>
      <c r="I1542" t="s">
        <v>4615</v>
      </c>
      <c r="L1542" t="s">
        <v>291</v>
      </c>
      <c r="M1542" t="s">
        <v>6452</v>
      </c>
    </row>
    <row r="1543" spans="1:13" x14ac:dyDescent="0.25">
      <c r="A1543">
        <v>6422904</v>
      </c>
      <c r="B1543" t="s">
        <v>6453</v>
      </c>
      <c r="C1543" t="str">
        <f>"9783662594056"</f>
        <v>9783662594056</v>
      </c>
      <c r="D1543" t="str">
        <f>"9783662594063"</f>
        <v>9783662594063</v>
      </c>
      <c r="E1543" t="s">
        <v>4540</v>
      </c>
      <c r="F1543" s="1">
        <v>43811</v>
      </c>
      <c r="G1543" t="s">
        <v>6454</v>
      </c>
      <c r="H1543" t="s">
        <v>5623</v>
      </c>
      <c r="I1543" t="s">
        <v>5419</v>
      </c>
      <c r="L1543" t="s">
        <v>291</v>
      </c>
      <c r="M1543" t="s">
        <v>6455</v>
      </c>
    </row>
    <row r="1544" spans="1:13" x14ac:dyDescent="0.25">
      <c r="A1544">
        <v>6422905</v>
      </c>
      <c r="B1544" t="s">
        <v>6456</v>
      </c>
      <c r="C1544" t="str">
        <f>"9781430268390"</f>
        <v>9781430268390</v>
      </c>
      <c r="D1544" t="str">
        <f>"9781430268383"</f>
        <v>9781430268383</v>
      </c>
      <c r="E1544" t="s">
        <v>5036</v>
      </c>
      <c r="F1544" s="1">
        <v>42000</v>
      </c>
      <c r="G1544" t="s">
        <v>6457</v>
      </c>
      <c r="H1544" t="s">
        <v>1753</v>
      </c>
      <c r="I1544" t="s">
        <v>5407</v>
      </c>
      <c r="L1544" t="s">
        <v>20</v>
      </c>
      <c r="M1544" t="s">
        <v>6458</v>
      </c>
    </row>
    <row r="1545" spans="1:13" x14ac:dyDescent="0.25">
      <c r="A1545">
        <v>6422906</v>
      </c>
      <c r="B1545" t="s">
        <v>6459</v>
      </c>
      <c r="C1545" t="str">
        <f>"9783658316860"</f>
        <v>9783658316860</v>
      </c>
      <c r="D1545" t="str">
        <f>"9783658316877"</f>
        <v>9783658316877</v>
      </c>
      <c r="E1545" t="s">
        <v>4472</v>
      </c>
      <c r="F1545" s="1">
        <v>44201</v>
      </c>
      <c r="G1545" t="s">
        <v>6460</v>
      </c>
      <c r="H1545" t="s">
        <v>1753</v>
      </c>
      <c r="I1545" t="s">
        <v>5029</v>
      </c>
      <c r="L1545" t="s">
        <v>291</v>
      </c>
      <c r="M1545" t="s">
        <v>6461</v>
      </c>
    </row>
    <row r="1546" spans="1:13" x14ac:dyDescent="0.25">
      <c r="A1546">
        <v>6422907</v>
      </c>
      <c r="B1546" t="s">
        <v>6462</v>
      </c>
      <c r="C1546" t="str">
        <f>"9783319511023"</f>
        <v>9783319511023</v>
      </c>
      <c r="D1546" t="str">
        <f>"9783319511030"</f>
        <v>9783319511030</v>
      </c>
      <c r="E1546" t="s">
        <v>2905</v>
      </c>
      <c r="F1546" s="1">
        <v>42796</v>
      </c>
      <c r="G1546" t="s">
        <v>6463</v>
      </c>
      <c r="H1546" t="s">
        <v>6464</v>
      </c>
      <c r="I1546" t="s">
        <v>5454</v>
      </c>
      <c r="J1546">
        <v>3.54</v>
      </c>
      <c r="L1546" t="s">
        <v>20</v>
      </c>
      <c r="M1546" t="s">
        <v>6465</v>
      </c>
    </row>
    <row r="1547" spans="1:13" x14ac:dyDescent="0.25">
      <c r="A1547">
        <v>6422908</v>
      </c>
      <c r="B1547" t="s">
        <v>6466</v>
      </c>
      <c r="C1547" t="str">
        <f>"9783319238463"</f>
        <v>9783319238463</v>
      </c>
      <c r="D1547" t="str">
        <f>"9783319238470"</f>
        <v>9783319238470</v>
      </c>
      <c r="E1547" t="s">
        <v>2905</v>
      </c>
      <c r="F1547" s="1">
        <v>42480</v>
      </c>
      <c r="G1547" t="s">
        <v>6467</v>
      </c>
      <c r="H1547" t="s">
        <v>2597</v>
      </c>
      <c r="I1547" t="s">
        <v>4560</v>
      </c>
      <c r="L1547" t="s">
        <v>20</v>
      </c>
      <c r="M1547" t="s">
        <v>6468</v>
      </c>
    </row>
    <row r="1548" spans="1:13" x14ac:dyDescent="0.25">
      <c r="A1548">
        <v>6422909</v>
      </c>
      <c r="B1548" t="s">
        <v>6469</v>
      </c>
      <c r="C1548" t="str">
        <f>"9783319586489"</f>
        <v>9783319586489</v>
      </c>
      <c r="D1548" t="str">
        <f>"9783319586502"</f>
        <v>9783319586502</v>
      </c>
      <c r="E1548" t="s">
        <v>2905</v>
      </c>
      <c r="F1548" s="1">
        <v>43025</v>
      </c>
      <c r="G1548" t="s">
        <v>6470</v>
      </c>
      <c r="H1548" t="s">
        <v>363</v>
      </c>
      <c r="I1548" t="s">
        <v>6471</v>
      </c>
      <c r="L1548" t="s">
        <v>20</v>
      </c>
      <c r="M1548" t="s">
        <v>6472</v>
      </c>
    </row>
    <row r="1549" spans="1:13" x14ac:dyDescent="0.25">
      <c r="A1549">
        <v>6422910</v>
      </c>
      <c r="B1549" t="s">
        <v>6473</v>
      </c>
      <c r="C1549" t="str">
        <f>"9783319296692"</f>
        <v>9783319296692</v>
      </c>
      <c r="D1549" t="str">
        <f>"9783319296715"</f>
        <v>9783319296715</v>
      </c>
      <c r="E1549" t="s">
        <v>2905</v>
      </c>
      <c r="F1549" s="1">
        <v>42513</v>
      </c>
      <c r="G1549" t="s">
        <v>6474</v>
      </c>
      <c r="H1549" t="s">
        <v>6475</v>
      </c>
      <c r="I1549" t="s">
        <v>4615</v>
      </c>
      <c r="J1549">
        <v>363.34929709400001</v>
      </c>
      <c r="L1549" t="s">
        <v>20</v>
      </c>
      <c r="M1549" t="s">
        <v>6476</v>
      </c>
    </row>
    <row r="1550" spans="1:13" x14ac:dyDescent="0.25">
      <c r="A1550">
        <v>6422911</v>
      </c>
      <c r="B1550" t="s">
        <v>6477</v>
      </c>
      <c r="C1550" t="str">
        <f>"9783319692982"</f>
        <v>9783319692982</v>
      </c>
      <c r="D1550" t="str">
        <f>"9783319692999"</f>
        <v>9783319692999</v>
      </c>
      <c r="E1550" t="s">
        <v>2905</v>
      </c>
      <c r="F1550" s="1">
        <v>43124</v>
      </c>
      <c r="G1550" t="s">
        <v>6478</v>
      </c>
      <c r="H1550" t="s">
        <v>6479</v>
      </c>
      <c r="I1550" t="s">
        <v>2908</v>
      </c>
      <c r="J1550">
        <v>333.79</v>
      </c>
      <c r="L1550" t="s">
        <v>20</v>
      </c>
      <c r="M1550" t="s">
        <v>6480</v>
      </c>
    </row>
    <row r="1551" spans="1:13" x14ac:dyDescent="0.25">
      <c r="A1551">
        <v>6422918</v>
      </c>
      <c r="B1551" t="s">
        <v>6481</v>
      </c>
      <c r="C1551" t="str">
        <f>"9789027207739"</f>
        <v>9789027207739</v>
      </c>
      <c r="D1551" t="str">
        <f>"9789027260598"</f>
        <v>9789027260598</v>
      </c>
      <c r="E1551" t="s">
        <v>1728</v>
      </c>
      <c r="F1551" s="1">
        <v>44175</v>
      </c>
      <c r="G1551" t="s">
        <v>6482</v>
      </c>
      <c r="H1551" t="s">
        <v>70</v>
      </c>
      <c r="I1551" t="s">
        <v>6483</v>
      </c>
      <c r="L1551" t="s">
        <v>20</v>
      </c>
      <c r="M1551" t="s">
        <v>6484</v>
      </c>
    </row>
    <row r="1552" spans="1:13" x14ac:dyDescent="0.25">
      <c r="A1552">
        <v>6423981</v>
      </c>
      <c r="B1552" t="s">
        <v>6485</v>
      </c>
      <c r="C1552" t="str">
        <f>"9783030478513"</f>
        <v>9783030478513</v>
      </c>
      <c r="D1552" t="str">
        <f>"9783030478520"</f>
        <v>9783030478520</v>
      </c>
      <c r="E1552" t="s">
        <v>2905</v>
      </c>
      <c r="F1552" s="1">
        <v>44177</v>
      </c>
      <c r="G1552" t="s">
        <v>6486</v>
      </c>
      <c r="H1552" t="s">
        <v>266</v>
      </c>
      <c r="I1552" t="s">
        <v>6487</v>
      </c>
      <c r="L1552" t="s">
        <v>20</v>
      </c>
      <c r="M1552" t="s">
        <v>6488</v>
      </c>
    </row>
    <row r="1553" spans="1:13" x14ac:dyDescent="0.25">
      <c r="A1553">
        <v>6425455</v>
      </c>
      <c r="B1553" t="s">
        <v>6489</v>
      </c>
      <c r="C1553" t="str">
        <f>"9783030536138"</f>
        <v>9783030536138</v>
      </c>
      <c r="D1553" t="str">
        <f>"9783030536145"</f>
        <v>9783030536145</v>
      </c>
      <c r="E1553" t="s">
        <v>2905</v>
      </c>
      <c r="F1553" s="1">
        <v>44181</v>
      </c>
      <c r="G1553" t="s">
        <v>6490</v>
      </c>
      <c r="H1553" t="s">
        <v>70</v>
      </c>
      <c r="I1553" t="s">
        <v>6491</v>
      </c>
      <c r="J1553">
        <v>808.02089999999998</v>
      </c>
      <c r="L1553" t="s">
        <v>20</v>
      </c>
      <c r="M1553" t="s">
        <v>6492</v>
      </c>
    </row>
    <row r="1554" spans="1:13" x14ac:dyDescent="0.25">
      <c r="A1554">
        <v>6425456</v>
      </c>
      <c r="B1554" t="s">
        <v>6493</v>
      </c>
      <c r="C1554" t="str">
        <f>"9783030549589"</f>
        <v>9783030549589</v>
      </c>
      <c r="D1554" t="str">
        <f>"9783030549596"</f>
        <v>9783030549596</v>
      </c>
      <c r="E1554" t="s">
        <v>2905</v>
      </c>
      <c r="F1554" s="1">
        <v>44180</v>
      </c>
      <c r="G1554" t="s">
        <v>6494</v>
      </c>
      <c r="H1554" t="s">
        <v>64</v>
      </c>
      <c r="I1554" t="s">
        <v>2908</v>
      </c>
      <c r="J1554">
        <v>361.61</v>
      </c>
      <c r="L1554" t="s">
        <v>20</v>
      </c>
      <c r="M1554" t="s">
        <v>6495</v>
      </c>
    </row>
    <row r="1555" spans="1:13" x14ac:dyDescent="0.25">
      <c r="A1555">
        <v>6425457</v>
      </c>
      <c r="B1555" t="s">
        <v>6496</v>
      </c>
      <c r="C1555" t="str">
        <f>"9783030603953"</f>
        <v>9783030603953</v>
      </c>
      <c r="D1555" t="str">
        <f>"9783030603960"</f>
        <v>9783030603960</v>
      </c>
      <c r="E1555" t="s">
        <v>2905</v>
      </c>
      <c r="F1555" s="1">
        <v>44180</v>
      </c>
      <c r="G1555" t="s">
        <v>6497</v>
      </c>
      <c r="H1555" t="s">
        <v>64</v>
      </c>
      <c r="I1555" t="s">
        <v>4623</v>
      </c>
      <c r="L1555" t="s">
        <v>20</v>
      </c>
      <c r="M1555" t="s">
        <v>6498</v>
      </c>
    </row>
    <row r="1556" spans="1:13" x14ac:dyDescent="0.25">
      <c r="A1556">
        <v>6425458</v>
      </c>
      <c r="B1556" t="s">
        <v>6499</v>
      </c>
      <c r="C1556" t="str">
        <f>"9783030640217"</f>
        <v>9783030640217</v>
      </c>
      <c r="D1556" t="str">
        <f>"9783030640224"</f>
        <v>9783030640224</v>
      </c>
      <c r="E1556" t="s">
        <v>2905</v>
      </c>
      <c r="F1556" s="1">
        <v>44181</v>
      </c>
      <c r="G1556" t="s">
        <v>6500</v>
      </c>
      <c r="H1556" t="s">
        <v>363</v>
      </c>
      <c r="I1556" t="s">
        <v>6501</v>
      </c>
      <c r="L1556" t="s">
        <v>20</v>
      </c>
      <c r="M1556" t="s">
        <v>6502</v>
      </c>
    </row>
    <row r="1557" spans="1:13" x14ac:dyDescent="0.25">
      <c r="A1557">
        <v>6425459</v>
      </c>
      <c r="B1557" t="s">
        <v>6503</v>
      </c>
      <c r="C1557" t="str">
        <f>"9783030482985"</f>
        <v>9783030482985</v>
      </c>
      <c r="D1557" t="str">
        <f>"9783030482992"</f>
        <v>9783030482992</v>
      </c>
      <c r="E1557" t="s">
        <v>2905</v>
      </c>
      <c r="F1557" s="1">
        <v>44180</v>
      </c>
      <c r="G1557" t="s">
        <v>6504</v>
      </c>
      <c r="H1557" t="s">
        <v>64</v>
      </c>
      <c r="I1557" t="s">
        <v>5264</v>
      </c>
      <c r="L1557" t="s">
        <v>20</v>
      </c>
      <c r="M1557" t="s">
        <v>6505</v>
      </c>
    </row>
    <row r="1558" spans="1:13" x14ac:dyDescent="0.25">
      <c r="A1558">
        <v>6425460</v>
      </c>
      <c r="B1558" t="s">
        <v>6506</v>
      </c>
      <c r="C1558" t="str">
        <f>"9783030591960"</f>
        <v>9783030591960</v>
      </c>
      <c r="D1558" t="str">
        <f>"9783030591977"</f>
        <v>9783030591977</v>
      </c>
      <c r="E1558" t="s">
        <v>2905</v>
      </c>
      <c r="F1558" s="1">
        <v>44180</v>
      </c>
      <c r="G1558" t="s">
        <v>6507</v>
      </c>
      <c r="H1558" t="s">
        <v>1283</v>
      </c>
      <c r="I1558" t="s">
        <v>4833</v>
      </c>
      <c r="J1558">
        <v>631.83000000000004</v>
      </c>
      <c r="L1558" t="s">
        <v>20</v>
      </c>
      <c r="M1558" t="s">
        <v>6508</v>
      </c>
    </row>
    <row r="1559" spans="1:13" x14ac:dyDescent="0.25">
      <c r="A1559">
        <v>6425461</v>
      </c>
      <c r="B1559" t="s">
        <v>6509</v>
      </c>
      <c r="C1559" t="str">
        <f>"9783030621353"</f>
        <v>9783030621353</v>
      </c>
      <c r="D1559" t="str">
        <f>"9783030621360"</f>
        <v>9783030621360</v>
      </c>
      <c r="E1559" t="s">
        <v>2905</v>
      </c>
      <c r="F1559" s="1">
        <v>44180</v>
      </c>
      <c r="G1559" t="s">
        <v>6510</v>
      </c>
      <c r="H1559" t="s">
        <v>712</v>
      </c>
      <c r="I1559" t="s">
        <v>4774</v>
      </c>
      <c r="L1559" t="s">
        <v>20</v>
      </c>
      <c r="M1559" t="s">
        <v>6511</v>
      </c>
    </row>
    <row r="1560" spans="1:13" x14ac:dyDescent="0.25">
      <c r="A1560">
        <v>6425462</v>
      </c>
      <c r="B1560" t="s">
        <v>6512</v>
      </c>
      <c r="C1560" t="str">
        <f>"9783658319939"</f>
        <v>9783658319939</v>
      </c>
      <c r="D1560" t="str">
        <f>"9783658319946"</f>
        <v>9783658319946</v>
      </c>
      <c r="E1560" t="s">
        <v>4472</v>
      </c>
      <c r="F1560" s="1">
        <v>44181</v>
      </c>
      <c r="G1560" t="s">
        <v>6513</v>
      </c>
      <c r="H1560" t="s">
        <v>6514</v>
      </c>
      <c r="I1560" t="s">
        <v>5294</v>
      </c>
      <c r="L1560" t="s">
        <v>291</v>
      </c>
      <c r="M1560" t="s">
        <v>6515</v>
      </c>
    </row>
    <row r="1561" spans="1:13" x14ac:dyDescent="0.25">
      <c r="A1561">
        <v>6425463</v>
      </c>
      <c r="B1561" t="s">
        <v>6516</v>
      </c>
      <c r="C1561" t="str">
        <f>"9783030631420"</f>
        <v>9783030631420</v>
      </c>
      <c r="D1561" t="str">
        <f>"9783030631437"</f>
        <v>9783030631437</v>
      </c>
      <c r="E1561" t="s">
        <v>2905</v>
      </c>
      <c r="F1561" s="1">
        <v>44180</v>
      </c>
      <c r="G1561" t="s">
        <v>6517</v>
      </c>
      <c r="H1561" t="s">
        <v>766</v>
      </c>
      <c r="I1561" t="s">
        <v>4807</v>
      </c>
      <c r="J1561">
        <v>347.40140000000002</v>
      </c>
      <c r="L1561" t="s">
        <v>20</v>
      </c>
      <c r="M1561" t="s">
        <v>6518</v>
      </c>
    </row>
    <row r="1562" spans="1:13" x14ac:dyDescent="0.25">
      <c r="A1562">
        <v>6425464</v>
      </c>
      <c r="B1562" t="s">
        <v>6519</v>
      </c>
      <c r="C1562" t="str">
        <f>"9783030428549"</f>
        <v>9783030428549</v>
      </c>
      <c r="D1562" t="str">
        <f>"9783030428556"</f>
        <v>9783030428556</v>
      </c>
      <c r="E1562" t="s">
        <v>2905</v>
      </c>
      <c r="F1562" s="1">
        <v>44181</v>
      </c>
      <c r="G1562" t="s">
        <v>6520</v>
      </c>
      <c r="H1562" t="s">
        <v>780</v>
      </c>
      <c r="I1562" t="s">
        <v>4661</v>
      </c>
      <c r="J1562">
        <v>947.00710000000004</v>
      </c>
      <c r="L1562" t="s">
        <v>20</v>
      </c>
      <c r="M1562" t="s">
        <v>6521</v>
      </c>
    </row>
    <row r="1563" spans="1:13" x14ac:dyDescent="0.25">
      <c r="A1563">
        <v>6425652</v>
      </c>
      <c r="B1563" t="s">
        <v>6522</v>
      </c>
      <c r="C1563" t="str">
        <f>"9783030546175"</f>
        <v>9783030546175</v>
      </c>
      <c r="D1563" t="str">
        <f>"9783030546182"</f>
        <v>9783030546182</v>
      </c>
      <c r="E1563" t="s">
        <v>2905</v>
      </c>
      <c r="F1563" s="1">
        <v>44180</v>
      </c>
      <c r="G1563" t="s">
        <v>6523</v>
      </c>
      <c r="H1563" t="s">
        <v>64</v>
      </c>
      <c r="I1563" t="s">
        <v>6524</v>
      </c>
      <c r="J1563">
        <v>362.82</v>
      </c>
      <c r="L1563" t="s">
        <v>20</v>
      </c>
      <c r="M1563" t="s">
        <v>6525</v>
      </c>
    </row>
    <row r="1564" spans="1:13" x14ac:dyDescent="0.25">
      <c r="A1564">
        <v>6425716</v>
      </c>
      <c r="B1564" t="s">
        <v>6526</v>
      </c>
      <c r="C1564" t="str">
        <f>"9781783748341"</f>
        <v>9781783748341</v>
      </c>
      <c r="D1564" t="str">
        <f>"9781783748358"</f>
        <v>9781783748358</v>
      </c>
      <c r="E1564" t="s">
        <v>2270</v>
      </c>
      <c r="F1564" s="1">
        <v>44116</v>
      </c>
      <c r="G1564" t="s">
        <v>6527</v>
      </c>
      <c r="H1564" t="s">
        <v>6528</v>
      </c>
      <c r="I1564" t="s">
        <v>6529</v>
      </c>
      <c r="J1564">
        <v>333.95159999999998</v>
      </c>
      <c r="K1564" t="s">
        <v>3912</v>
      </c>
      <c r="L1564" t="s">
        <v>20</v>
      </c>
      <c r="M1564" t="s">
        <v>6530</v>
      </c>
    </row>
    <row r="1565" spans="1:13" x14ac:dyDescent="0.25">
      <c r="A1565">
        <v>6425717</v>
      </c>
      <c r="B1565" t="s">
        <v>6531</v>
      </c>
      <c r="C1565" t="str">
        <f>"9781800640849"</f>
        <v>9781800640849</v>
      </c>
      <c r="D1565" t="str">
        <f>"9781800640856"</f>
        <v>9781800640856</v>
      </c>
      <c r="E1565" t="s">
        <v>2270</v>
      </c>
      <c r="F1565" s="1">
        <v>44165</v>
      </c>
      <c r="G1565" t="s">
        <v>6532</v>
      </c>
      <c r="H1565" t="s">
        <v>83</v>
      </c>
      <c r="L1565" t="s">
        <v>20</v>
      </c>
      <c r="M1565" t="s">
        <v>6533</v>
      </c>
    </row>
    <row r="1566" spans="1:13" x14ac:dyDescent="0.25">
      <c r="A1566">
        <v>6425718</v>
      </c>
      <c r="B1566" t="s">
        <v>6534</v>
      </c>
      <c r="C1566" t="str">
        <f>"9781800640788"</f>
        <v>9781800640788</v>
      </c>
      <c r="D1566" t="str">
        <f>"9781800640795"</f>
        <v>9781800640795</v>
      </c>
      <c r="E1566" t="s">
        <v>2270</v>
      </c>
      <c r="F1566" s="1">
        <v>44165</v>
      </c>
      <c r="G1566" t="s">
        <v>4190</v>
      </c>
      <c r="H1566" t="s">
        <v>139</v>
      </c>
      <c r="L1566" t="s">
        <v>20</v>
      </c>
      <c r="M1566" t="s">
        <v>6535</v>
      </c>
    </row>
    <row r="1567" spans="1:13" x14ac:dyDescent="0.25">
      <c r="A1567">
        <v>6425719</v>
      </c>
      <c r="B1567" t="s">
        <v>6536</v>
      </c>
      <c r="C1567" t="str">
        <f>"9781783749607"</f>
        <v>9781783749607</v>
      </c>
      <c r="D1567" t="str">
        <f>"9781800641259"</f>
        <v>9781800641259</v>
      </c>
      <c r="E1567" t="s">
        <v>2270</v>
      </c>
      <c r="F1567" s="1">
        <v>44127</v>
      </c>
      <c r="G1567" t="s">
        <v>6537</v>
      </c>
      <c r="H1567" t="s">
        <v>6538</v>
      </c>
      <c r="L1567" t="s">
        <v>20</v>
      </c>
      <c r="M1567" t="s">
        <v>6539</v>
      </c>
    </row>
    <row r="1568" spans="1:13" x14ac:dyDescent="0.25">
      <c r="A1568">
        <v>6425957</v>
      </c>
      <c r="B1568" t="s">
        <v>6540</v>
      </c>
      <c r="C1568" t="str">
        <f>"9783662628119"</f>
        <v>9783662628119</v>
      </c>
      <c r="D1568" t="str">
        <f>"9783662628126"</f>
        <v>9783662628126</v>
      </c>
      <c r="E1568" t="s">
        <v>5860</v>
      </c>
      <c r="F1568" s="1">
        <v>44182</v>
      </c>
      <c r="G1568" t="s">
        <v>6541</v>
      </c>
      <c r="H1568" t="s">
        <v>851</v>
      </c>
      <c r="I1568" t="s">
        <v>6542</v>
      </c>
      <c r="L1568" t="s">
        <v>291</v>
      </c>
      <c r="M1568" t="s">
        <v>6543</v>
      </c>
    </row>
    <row r="1569" spans="1:13" x14ac:dyDescent="0.25">
      <c r="A1569">
        <v>6426640</v>
      </c>
      <c r="B1569" t="s">
        <v>6544</v>
      </c>
      <c r="C1569" t="str">
        <f>"9789811598326"</f>
        <v>9789811598326</v>
      </c>
      <c r="D1569" t="str">
        <f>"9789811598333"</f>
        <v>9789811598333</v>
      </c>
      <c r="E1569" t="s">
        <v>2906</v>
      </c>
      <c r="F1569" s="1">
        <v>44183</v>
      </c>
      <c r="G1569" t="s">
        <v>6545</v>
      </c>
      <c r="H1569" t="s">
        <v>30</v>
      </c>
      <c r="I1569" t="s">
        <v>6546</v>
      </c>
      <c r="L1569" t="s">
        <v>20</v>
      </c>
      <c r="M1569" t="s">
        <v>6547</v>
      </c>
    </row>
    <row r="1570" spans="1:13" x14ac:dyDescent="0.25">
      <c r="A1570">
        <v>6436125</v>
      </c>
      <c r="B1570" t="s">
        <v>6548</v>
      </c>
      <c r="C1570" t="str">
        <f>"9783662627457"</f>
        <v>9783662627457</v>
      </c>
      <c r="D1570" t="str">
        <f>"9783662627464"</f>
        <v>9783662627464</v>
      </c>
      <c r="E1570" t="s">
        <v>4540</v>
      </c>
      <c r="F1570" s="1">
        <v>44189</v>
      </c>
      <c r="G1570" t="s">
        <v>6549</v>
      </c>
      <c r="H1570" t="s">
        <v>4564</v>
      </c>
      <c r="I1570" t="s">
        <v>6550</v>
      </c>
      <c r="L1570" t="s">
        <v>20</v>
      </c>
      <c r="M1570" t="s">
        <v>6551</v>
      </c>
    </row>
    <row r="1571" spans="1:13" x14ac:dyDescent="0.25">
      <c r="A1571">
        <v>6437858</v>
      </c>
      <c r="B1571" t="s">
        <v>6552</v>
      </c>
      <c r="C1571" t="str">
        <f>"9783662622308"</f>
        <v>9783662622308</v>
      </c>
      <c r="D1571" t="str">
        <f>"9783662622315"</f>
        <v>9783662622315</v>
      </c>
      <c r="E1571" t="s">
        <v>4540</v>
      </c>
      <c r="F1571" s="1">
        <v>44190</v>
      </c>
      <c r="G1571" t="s">
        <v>6553</v>
      </c>
      <c r="H1571" t="s">
        <v>1753</v>
      </c>
      <c r="I1571" t="s">
        <v>4569</v>
      </c>
      <c r="L1571" t="s">
        <v>291</v>
      </c>
      <c r="M1571" t="s">
        <v>6554</v>
      </c>
    </row>
    <row r="1572" spans="1:13" x14ac:dyDescent="0.25">
      <c r="A1572">
        <v>6437859</v>
      </c>
      <c r="B1572" t="s">
        <v>6555</v>
      </c>
      <c r="C1572" t="str">
        <f>"9783658324445"</f>
        <v>9783658324445</v>
      </c>
      <c r="D1572" t="str">
        <f>"9783658324452"</f>
        <v>9783658324452</v>
      </c>
      <c r="E1572" t="s">
        <v>4472</v>
      </c>
      <c r="F1572" s="1">
        <v>44223</v>
      </c>
      <c r="G1572" t="s">
        <v>6556</v>
      </c>
      <c r="H1572" t="s">
        <v>64</v>
      </c>
      <c r="I1572" t="s">
        <v>2908</v>
      </c>
      <c r="L1572" t="s">
        <v>291</v>
      </c>
      <c r="M1572" t="s">
        <v>6557</v>
      </c>
    </row>
    <row r="1573" spans="1:13" x14ac:dyDescent="0.25">
      <c r="A1573">
        <v>6449030</v>
      </c>
      <c r="B1573" t="s">
        <v>6558</v>
      </c>
      <c r="C1573" t="str">
        <f>"9783030635046"</f>
        <v>9783030635046</v>
      </c>
      <c r="D1573" t="str">
        <f>"9783030635053"</f>
        <v>9783030635053</v>
      </c>
      <c r="E1573" t="s">
        <v>2905</v>
      </c>
      <c r="F1573" s="1">
        <v>44196</v>
      </c>
      <c r="G1573" t="s">
        <v>6559</v>
      </c>
      <c r="H1573" t="s">
        <v>1753</v>
      </c>
      <c r="I1573" t="s">
        <v>4569</v>
      </c>
      <c r="L1573" t="s">
        <v>20</v>
      </c>
      <c r="M1573" t="s">
        <v>6560</v>
      </c>
    </row>
    <row r="1574" spans="1:13" x14ac:dyDescent="0.25">
      <c r="A1574">
        <v>6449031</v>
      </c>
      <c r="B1574" t="s">
        <v>6561</v>
      </c>
      <c r="C1574" t="str">
        <f>"9789811575976"</f>
        <v>9789811575976</v>
      </c>
      <c r="D1574" t="str">
        <f>"9789811575983"</f>
        <v>9789811575983</v>
      </c>
      <c r="E1574" t="s">
        <v>4099</v>
      </c>
      <c r="F1574" s="1">
        <v>44196</v>
      </c>
      <c r="G1574" t="s">
        <v>6562</v>
      </c>
      <c r="H1574" t="s">
        <v>363</v>
      </c>
      <c r="I1574" t="s">
        <v>6563</v>
      </c>
      <c r="L1574" t="s">
        <v>20</v>
      </c>
      <c r="M1574" t="s">
        <v>6564</v>
      </c>
    </row>
    <row r="1575" spans="1:13" x14ac:dyDescent="0.25">
      <c r="A1575">
        <v>6449033</v>
      </c>
      <c r="B1575" t="s">
        <v>6565</v>
      </c>
      <c r="C1575" t="str">
        <f>"9783030570309"</f>
        <v>9783030570309</v>
      </c>
      <c r="D1575" t="str">
        <f>"9783030570316"</f>
        <v>9783030570316</v>
      </c>
      <c r="E1575" t="s">
        <v>2905</v>
      </c>
      <c r="F1575" s="1">
        <v>44195</v>
      </c>
      <c r="G1575" t="s">
        <v>6566</v>
      </c>
      <c r="H1575" t="s">
        <v>1056</v>
      </c>
      <c r="I1575" t="s">
        <v>6567</v>
      </c>
      <c r="L1575" t="s">
        <v>20</v>
      </c>
      <c r="M1575" t="s">
        <v>6568</v>
      </c>
    </row>
    <row r="1576" spans="1:13" x14ac:dyDescent="0.25">
      <c r="A1576">
        <v>6449034</v>
      </c>
      <c r="B1576" t="s">
        <v>6569</v>
      </c>
      <c r="C1576" t="str">
        <f>"9783658323882"</f>
        <v>9783658323882</v>
      </c>
      <c r="D1576" t="str">
        <f>"9783658323899"</f>
        <v>9783658323899</v>
      </c>
      <c r="E1576" t="s">
        <v>4472</v>
      </c>
      <c r="F1576" s="1">
        <v>44195</v>
      </c>
      <c r="G1576" t="s">
        <v>6570</v>
      </c>
      <c r="H1576" t="s">
        <v>1753</v>
      </c>
      <c r="I1576" t="s">
        <v>4474</v>
      </c>
      <c r="L1576" t="s">
        <v>291</v>
      </c>
      <c r="M1576" t="s">
        <v>6571</v>
      </c>
    </row>
    <row r="1577" spans="1:13" x14ac:dyDescent="0.25">
      <c r="A1577">
        <v>6449885</v>
      </c>
      <c r="B1577" t="s">
        <v>6572</v>
      </c>
      <c r="C1577" t="str">
        <f>"9783030599508"</f>
        <v>9783030599508</v>
      </c>
      <c r="D1577" t="str">
        <f>"9783030599515"</f>
        <v>9783030599515</v>
      </c>
      <c r="E1577" t="s">
        <v>2905</v>
      </c>
      <c r="F1577" s="1">
        <v>44197</v>
      </c>
      <c r="G1577" t="s">
        <v>6573</v>
      </c>
      <c r="H1577" t="s">
        <v>64</v>
      </c>
      <c r="I1577" t="s">
        <v>5512</v>
      </c>
      <c r="L1577" t="s">
        <v>20</v>
      </c>
      <c r="M1577" t="s">
        <v>6574</v>
      </c>
    </row>
    <row r="1578" spans="1:13" x14ac:dyDescent="0.25">
      <c r="A1578">
        <v>6451165</v>
      </c>
      <c r="B1578" t="s">
        <v>6575</v>
      </c>
      <c r="C1578" t="str">
        <f>"9789811583223"</f>
        <v>9789811583223</v>
      </c>
      <c r="D1578" t="str">
        <f>"9789811583230"</f>
        <v>9789811583230</v>
      </c>
      <c r="E1578" t="s">
        <v>4099</v>
      </c>
      <c r="F1578" s="1">
        <v>44202</v>
      </c>
      <c r="G1578" t="s">
        <v>6576</v>
      </c>
      <c r="H1578" t="s">
        <v>266</v>
      </c>
      <c r="I1578" t="s">
        <v>6577</v>
      </c>
      <c r="L1578" t="s">
        <v>20</v>
      </c>
      <c r="M1578" t="s">
        <v>6578</v>
      </c>
    </row>
    <row r="1579" spans="1:13" x14ac:dyDescent="0.25">
      <c r="A1579">
        <v>6451166</v>
      </c>
      <c r="B1579" t="s">
        <v>6579</v>
      </c>
      <c r="C1579" t="str">
        <f>"9783030558772"</f>
        <v>9783030558772</v>
      </c>
      <c r="D1579" t="str">
        <f>"9783030558789"</f>
        <v>9783030558789</v>
      </c>
      <c r="E1579" t="s">
        <v>2905</v>
      </c>
      <c r="F1579" s="1">
        <v>44202</v>
      </c>
      <c r="G1579" t="s">
        <v>6580</v>
      </c>
      <c r="H1579" t="s">
        <v>363</v>
      </c>
      <c r="I1579" t="s">
        <v>6581</v>
      </c>
      <c r="L1579" t="s">
        <v>20</v>
      </c>
      <c r="M1579" t="s">
        <v>6582</v>
      </c>
    </row>
    <row r="1580" spans="1:13" x14ac:dyDescent="0.25">
      <c r="A1580">
        <v>6451167</v>
      </c>
      <c r="B1580" t="s">
        <v>6583</v>
      </c>
      <c r="C1580" t="str">
        <f>"9783662623169"</f>
        <v>9783662623169</v>
      </c>
      <c r="D1580" t="str">
        <f>"9783662623176"</f>
        <v>9783662623176</v>
      </c>
      <c r="E1580" t="s">
        <v>4540</v>
      </c>
      <c r="F1580" s="1">
        <v>44202</v>
      </c>
      <c r="G1580" t="s">
        <v>6584</v>
      </c>
      <c r="H1580" t="s">
        <v>239</v>
      </c>
      <c r="I1580" t="s">
        <v>6585</v>
      </c>
      <c r="L1580" t="s">
        <v>20</v>
      </c>
      <c r="M1580" t="s">
        <v>6586</v>
      </c>
    </row>
    <row r="1581" spans="1:13" x14ac:dyDescent="0.25">
      <c r="A1581">
        <v>6451168</v>
      </c>
      <c r="B1581" t="s">
        <v>6587</v>
      </c>
      <c r="C1581" t="str">
        <f>"9783030493875"</f>
        <v>9783030493875</v>
      </c>
      <c r="D1581" t="str">
        <f>"9783030493882"</f>
        <v>9783030493882</v>
      </c>
      <c r="E1581" t="s">
        <v>2905</v>
      </c>
      <c r="F1581" s="1">
        <v>44202</v>
      </c>
      <c r="G1581" t="s">
        <v>6588</v>
      </c>
      <c r="H1581" t="s">
        <v>239</v>
      </c>
      <c r="I1581" t="s">
        <v>6383</v>
      </c>
      <c r="L1581" t="s">
        <v>20</v>
      </c>
      <c r="M1581" t="s">
        <v>6589</v>
      </c>
    </row>
    <row r="1582" spans="1:13" x14ac:dyDescent="0.25">
      <c r="A1582">
        <v>6451944</v>
      </c>
      <c r="B1582" t="s">
        <v>6590</v>
      </c>
      <c r="C1582" t="str">
        <f>"9789811595974"</f>
        <v>9789811595974</v>
      </c>
      <c r="D1582" t="str">
        <f>"9789811595981"</f>
        <v>9789811595981</v>
      </c>
      <c r="E1582" t="s">
        <v>4099</v>
      </c>
      <c r="F1582" s="1">
        <v>44204</v>
      </c>
      <c r="G1582" t="s">
        <v>6591</v>
      </c>
      <c r="H1582" t="s">
        <v>1753</v>
      </c>
      <c r="I1582" t="s">
        <v>5403</v>
      </c>
      <c r="L1582" t="s">
        <v>20</v>
      </c>
      <c r="M1582" t="s">
        <v>6592</v>
      </c>
    </row>
    <row r="1583" spans="1:13" x14ac:dyDescent="0.25">
      <c r="A1583">
        <v>6452454</v>
      </c>
      <c r="B1583" t="s">
        <v>6593</v>
      </c>
      <c r="C1583" t="str">
        <f>"9783030663025"</f>
        <v>9783030663025</v>
      </c>
      <c r="D1583" t="str">
        <f>"9783030663032"</f>
        <v>9783030663032</v>
      </c>
      <c r="E1583" t="s">
        <v>2905</v>
      </c>
      <c r="F1583" s="1">
        <v>44204</v>
      </c>
      <c r="G1583" t="s">
        <v>6594</v>
      </c>
      <c r="H1583" t="s">
        <v>64</v>
      </c>
      <c r="I1583" t="s">
        <v>5264</v>
      </c>
      <c r="L1583" t="s">
        <v>20</v>
      </c>
      <c r="M1583" t="s">
        <v>6595</v>
      </c>
    </row>
    <row r="1584" spans="1:13" x14ac:dyDescent="0.25">
      <c r="A1584">
        <v>6454116</v>
      </c>
      <c r="B1584" t="s">
        <v>6596</v>
      </c>
      <c r="C1584" t="str">
        <f>"9789811580130"</f>
        <v>9789811580130</v>
      </c>
      <c r="D1584" t="str">
        <f>"9789811580147"</f>
        <v>9789811580147</v>
      </c>
      <c r="E1584" t="s">
        <v>4099</v>
      </c>
      <c r="F1584" s="1">
        <v>44208</v>
      </c>
      <c r="G1584" t="s">
        <v>6597</v>
      </c>
      <c r="H1584" t="s">
        <v>1283</v>
      </c>
      <c r="I1584" t="s">
        <v>4833</v>
      </c>
      <c r="L1584" t="s">
        <v>20</v>
      </c>
      <c r="M1584" t="s">
        <v>6598</v>
      </c>
    </row>
    <row r="1585" spans="1:13" x14ac:dyDescent="0.25">
      <c r="A1585">
        <v>6454117</v>
      </c>
      <c r="B1585" t="s">
        <v>6599</v>
      </c>
      <c r="C1585" t="str">
        <f>"9783030582777"</f>
        <v>9783030582777</v>
      </c>
      <c r="D1585" t="str">
        <f>"9783030582784"</f>
        <v>9783030582784</v>
      </c>
      <c r="E1585" t="s">
        <v>2905</v>
      </c>
      <c r="F1585" s="1">
        <v>44208</v>
      </c>
      <c r="G1585" t="s">
        <v>6600</v>
      </c>
      <c r="H1585" t="s">
        <v>64</v>
      </c>
      <c r="I1585" t="s">
        <v>4661</v>
      </c>
      <c r="L1585" t="s">
        <v>20</v>
      </c>
      <c r="M1585" t="s">
        <v>6601</v>
      </c>
    </row>
    <row r="1586" spans="1:13" x14ac:dyDescent="0.25">
      <c r="A1586">
        <v>6454799</v>
      </c>
      <c r="B1586" t="s">
        <v>6602</v>
      </c>
      <c r="C1586" t="str">
        <f>""</f>
        <v/>
      </c>
      <c r="D1586" t="str">
        <f>"9789027212030"</f>
        <v>9789027212030</v>
      </c>
      <c r="E1586" t="s">
        <v>1728</v>
      </c>
      <c r="F1586" s="1">
        <v>41360</v>
      </c>
      <c r="G1586" t="s">
        <v>6603</v>
      </c>
      <c r="H1586" t="s">
        <v>1586</v>
      </c>
      <c r="I1586" t="s">
        <v>6604</v>
      </c>
      <c r="L1586" t="s">
        <v>20</v>
      </c>
      <c r="M1586" t="s">
        <v>6605</v>
      </c>
    </row>
    <row r="1587" spans="1:13" x14ac:dyDescent="0.25">
      <c r="A1587">
        <v>6454806</v>
      </c>
      <c r="B1587" t="s">
        <v>6606</v>
      </c>
      <c r="C1587" t="str">
        <f>"9781800640429"</f>
        <v>9781800640429</v>
      </c>
      <c r="D1587" t="str">
        <f>"9781800640436"</f>
        <v>9781800640436</v>
      </c>
      <c r="E1587" t="s">
        <v>2270</v>
      </c>
      <c r="F1587" s="1">
        <v>44200</v>
      </c>
      <c r="G1587" t="s">
        <v>6607</v>
      </c>
      <c r="H1587" t="s">
        <v>6608</v>
      </c>
      <c r="L1587" t="s">
        <v>20</v>
      </c>
      <c r="M1587" t="s">
        <v>6609</v>
      </c>
    </row>
    <row r="1588" spans="1:13" x14ac:dyDescent="0.25">
      <c r="A1588">
        <v>6454807</v>
      </c>
      <c r="B1588" t="s">
        <v>6610</v>
      </c>
      <c r="C1588" t="str">
        <f>"9781783749157"</f>
        <v>9781783749157</v>
      </c>
      <c r="D1588" t="str">
        <f>"9781783749164"</f>
        <v>9781783749164</v>
      </c>
      <c r="E1588" t="s">
        <v>2270</v>
      </c>
      <c r="F1588" s="1">
        <v>44211</v>
      </c>
      <c r="G1588" t="s">
        <v>6611</v>
      </c>
      <c r="H1588" t="s">
        <v>3289</v>
      </c>
      <c r="L1588" t="s">
        <v>20</v>
      </c>
      <c r="M1588" t="s">
        <v>6612</v>
      </c>
    </row>
    <row r="1589" spans="1:13" x14ac:dyDescent="0.25">
      <c r="A1589">
        <v>6454864</v>
      </c>
      <c r="B1589" t="s">
        <v>6613</v>
      </c>
      <c r="C1589" t="str">
        <f>"9783030657840"</f>
        <v>9783030657840</v>
      </c>
      <c r="D1589" t="str">
        <f>"9783030657857"</f>
        <v>9783030657857</v>
      </c>
      <c r="E1589" t="s">
        <v>2905</v>
      </c>
      <c r="F1589" s="1">
        <v>44208</v>
      </c>
      <c r="G1589" t="s">
        <v>6614</v>
      </c>
      <c r="H1589" t="s">
        <v>6615</v>
      </c>
      <c r="I1589" t="s">
        <v>6616</v>
      </c>
      <c r="L1589" t="s">
        <v>20</v>
      </c>
      <c r="M1589" t="s">
        <v>6617</v>
      </c>
    </row>
    <row r="1590" spans="1:13" x14ac:dyDescent="0.25">
      <c r="A1590">
        <v>6455780</v>
      </c>
      <c r="B1590" t="s">
        <v>6618</v>
      </c>
      <c r="C1590" t="str">
        <f>"9783030585044"</f>
        <v>9783030585044</v>
      </c>
      <c r="D1590" t="str">
        <f>"9783030585051"</f>
        <v>9783030585051</v>
      </c>
      <c r="E1590" t="s">
        <v>2905</v>
      </c>
      <c r="F1590" s="1">
        <v>44211</v>
      </c>
      <c r="G1590" t="s">
        <v>6619</v>
      </c>
      <c r="H1590" t="s">
        <v>266</v>
      </c>
      <c r="I1590" t="s">
        <v>5900</v>
      </c>
      <c r="L1590" t="s">
        <v>20</v>
      </c>
      <c r="M1590" t="s">
        <v>6620</v>
      </c>
    </row>
    <row r="1591" spans="1:13" x14ac:dyDescent="0.25">
      <c r="A1591">
        <v>6455781</v>
      </c>
      <c r="B1591" t="s">
        <v>6621</v>
      </c>
      <c r="C1591" t="str">
        <f>"9783030105907"</f>
        <v>9783030105907</v>
      </c>
      <c r="D1591" t="str">
        <f>"9783030105914"</f>
        <v>9783030105914</v>
      </c>
      <c r="E1591" t="s">
        <v>2905</v>
      </c>
      <c r="F1591" s="1">
        <v>44211</v>
      </c>
      <c r="G1591" t="s">
        <v>6622</v>
      </c>
      <c r="H1591" t="s">
        <v>712</v>
      </c>
      <c r="I1591" t="s">
        <v>5272</v>
      </c>
      <c r="L1591" t="s">
        <v>20</v>
      </c>
      <c r="M1591" t="s">
        <v>6623</v>
      </c>
    </row>
    <row r="1592" spans="1:13" x14ac:dyDescent="0.25">
      <c r="A1592">
        <v>6455782</v>
      </c>
      <c r="B1592" t="s">
        <v>6624</v>
      </c>
      <c r="C1592" t="str">
        <f>"9783030471491"</f>
        <v>9783030471491</v>
      </c>
      <c r="D1592" t="str">
        <f>"9783030471507"</f>
        <v>9783030471507</v>
      </c>
      <c r="E1592" t="s">
        <v>2905</v>
      </c>
      <c r="F1592" s="1">
        <v>44211</v>
      </c>
      <c r="G1592" t="s">
        <v>6625</v>
      </c>
      <c r="H1592" t="s">
        <v>6626</v>
      </c>
      <c r="I1592" t="s">
        <v>4239</v>
      </c>
      <c r="L1592" t="s">
        <v>20</v>
      </c>
      <c r="M1592" t="s">
        <v>6627</v>
      </c>
    </row>
    <row r="1593" spans="1:13" x14ac:dyDescent="0.25">
      <c r="A1593">
        <v>6455966</v>
      </c>
      <c r="B1593" t="s">
        <v>6628</v>
      </c>
      <c r="C1593" t="str">
        <f>"9783030594022"</f>
        <v>9783030594022</v>
      </c>
      <c r="D1593" t="str">
        <f>"9783030594039"</f>
        <v>9783030594039</v>
      </c>
      <c r="E1593" t="s">
        <v>2905</v>
      </c>
      <c r="F1593" s="1">
        <v>44180</v>
      </c>
      <c r="G1593" t="s">
        <v>6629</v>
      </c>
      <c r="H1593" t="s">
        <v>266</v>
      </c>
      <c r="I1593" t="s">
        <v>5505</v>
      </c>
      <c r="L1593" t="s">
        <v>20</v>
      </c>
      <c r="M1593" t="s">
        <v>6630</v>
      </c>
    </row>
    <row r="1594" spans="1:13" x14ac:dyDescent="0.25">
      <c r="A1594">
        <v>6458353</v>
      </c>
      <c r="B1594" t="s">
        <v>6631</v>
      </c>
      <c r="C1594" t="str">
        <f>"9789813349216"</f>
        <v>9789813349216</v>
      </c>
      <c r="D1594" t="str">
        <f>"9789813349223"</f>
        <v>9789813349223</v>
      </c>
      <c r="E1594" t="s">
        <v>4099</v>
      </c>
      <c r="F1594" s="1">
        <v>44215</v>
      </c>
      <c r="G1594" t="s">
        <v>6632</v>
      </c>
      <c r="H1594" t="s">
        <v>712</v>
      </c>
      <c r="I1594" t="s">
        <v>5272</v>
      </c>
      <c r="L1594" t="s">
        <v>20</v>
      </c>
      <c r="M1594" t="s">
        <v>6633</v>
      </c>
    </row>
    <row r="1595" spans="1:13" x14ac:dyDescent="0.25">
      <c r="A1595">
        <v>6458965</v>
      </c>
      <c r="B1595" t="s">
        <v>6634</v>
      </c>
      <c r="C1595" t="str">
        <f>"9783030477745"</f>
        <v>9783030477745</v>
      </c>
      <c r="D1595" t="str">
        <f>"9783030477752"</f>
        <v>9783030477752</v>
      </c>
      <c r="E1595" t="s">
        <v>2905</v>
      </c>
      <c r="F1595" s="1">
        <v>44216</v>
      </c>
      <c r="G1595" t="s">
        <v>6635</v>
      </c>
      <c r="H1595" t="s">
        <v>712</v>
      </c>
      <c r="I1595" t="s">
        <v>4584</v>
      </c>
      <c r="L1595" t="s">
        <v>20</v>
      </c>
      <c r="M1595" t="s">
        <v>6636</v>
      </c>
    </row>
    <row r="1596" spans="1:13" x14ac:dyDescent="0.25">
      <c r="A1596">
        <v>6458966</v>
      </c>
      <c r="B1596" t="s">
        <v>6637</v>
      </c>
      <c r="C1596" t="str">
        <f>"9783030611590"</f>
        <v>9783030611590</v>
      </c>
      <c r="D1596" t="str">
        <f>"9783030611606"</f>
        <v>9783030611606</v>
      </c>
      <c r="E1596" t="s">
        <v>2905</v>
      </c>
      <c r="F1596" s="1">
        <v>44216</v>
      </c>
      <c r="G1596" t="s">
        <v>6638</v>
      </c>
      <c r="H1596" t="s">
        <v>6639</v>
      </c>
      <c r="I1596" t="s">
        <v>5298</v>
      </c>
      <c r="J1596">
        <v>363.73874209600001</v>
      </c>
      <c r="L1596" t="s">
        <v>20</v>
      </c>
      <c r="M1596" t="s">
        <v>6640</v>
      </c>
    </row>
    <row r="1597" spans="1:13" x14ac:dyDescent="0.25">
      <c r="A1597">
        <v>6460302</v>
      </c>
      <c r="B1597" t="s">
        <v>6641</v>
      </c>
      <c r="C1597" t="str">
        <f>"9783030632656"</f>
        <v>9783030632656</v>
      </c>
      <c r="D1597" t="str">
        <f>"9783030632663"</f>
        <v>9783030632663</v>
      </c>
      <c r="E1597" t="s">
        <v>2905</v>
      </c>
      <c r="F1597" s="1">
        <v>44217</v>
      </c>
      <c r="G1597" t="s">
        <v>6642</v>
      </c>
      <c r="H1597" t="s">
        <v>30</v>
      </c>
      <c r="I1597" t="s">
        <v>4251</v>
      </c>
      <c r="J1597" t="s">
        <v>6643</v>
      </c>
      <c r="L1597" t="s">
        <v>20</v>
      </c>
      <c r="M1597" t="s">
        <v>6644</v>
      </c>
    </row>
    <row r="1598" spans="1:13" x14ac:dyDescent="0.25">
      <c r="A1598">
        <v>6460904</v>
      </c>
      <c r="B1598" t="s">
        <v>6645</v>
      </c>
      <c r="C1598" t="str">
        <f>"9783658308810"</f>
        <v>9783658308810</v>
      </c>
      <c r="D1598" t="str">
        <f>"9783658308827"</f>
        <v>9783658308827</v>
      </c>
      <c r="E1598" t="s">
        <v>4472</v>
      </c>
      <c r="F1598" s="1">
        <v>44218</v>
      </c>
      <c r="G1598" t="s">
        <v>6646</v>
      </c>
      <c r="H1598" t="s">
        <v>4180</v>
      </c>
      <c r="I1598" t="s">
        <v>4936</v>
      </c>
      <c r="L1598" t="s">
        <v>291</v>
      </c>
      <c r="M1598" t="s">
        <v>6647</v>
      </c>
    </row>
    <row r="1599" spans="1:13" x14ac:dyDescent="0.25">
      <c r="A1599">
        <v>6460905</v>
      </c>
      <c r="B1599" t="s">
        <v>6648</v>
      </c>
      <c r="C1599" t="str">
        <f>"9783030616472"</f>
        <v>9783030616472</v>
      </c>
      <c r="D1599" t="str">
        <f>"9783030616489"</f>
        <v>9783030616489</v>
      </c>
      <c r="E1599" t="s">
        <v>2905</v>
      </c>
      <c r="F1599" s="1">
        <v>44218</v>
      </c>
      <c r="G1599" t="s">
        <v>6649</v>
      </c>
      <c r="H1599" t="s">
        <v>363</v>
      </c>
      <c r="I1599" t="s">
        <v>4486</v>
      </c>
      <c r="L1599" t="s">
        <v>20</v>
      </c>
      <c r="M1599" t="s">
        <v>6650</v>
      </c>
    </row>
    <row r="1600" spans="1:13" x14ac:dyDescent="0.25">
      <c r="A1600">
        <v>6461734</v>
      </c>
      <c r="B1600" t="s">
        <v>6651</v>
      </c>
      <c r="C1600" t="str">
        <f>"9783662626344"</f>
        <v>9783662626344</v>
      </c>
      <c r="D1600" t="str">
        <f>"9783662626351"</f>
        <v>9783662626351</v>
      </c>
      <c r="E1600" t="s">
        <v>5860</v>
      </c>
      <c r="F1600" s="1">
        <v>44219</v>
      </c>
      <c r="G1600" t="s">
        <v>6652</v>
      </c>
      <c r="H1600" t="s">
        <v>246</v>
      </c>
      <c r="I1600" t="s">
        <v>6653</v>
      </c>
      <c r="L1600" t="s">
        <v>291</v>
      </c>
      <c r="M1600" t="s">
        <v>6654</v>
      </c>
    </row>
    <row r="1601" spans="1:13" x14ac:dyDescent="0.25">
      <c r="A1601">
        <v>6462031</v>
      </c>
      <c r="B1601" t="s">
        <v>6655</v>
      </c>
      <c r="C1601" t="str">
        <f>"9783658324100"</f>
        <v>9783658324100</v>
      </c>
      <c r="D1601" t="str">
        <f>"9783658324117"</f>
        <v>9783658324117</v>
      </c>
      <c r="E1601" t="s">
        <v>4472</v>
      </c>
      <c r="F1601" s="1">
        <v>44220</v>
      </c>
      <c r="G1601" t="s">
        <v>6656</v>
      </c>
      <c r="H1601" t="s">
        <v>363</v>
      </c>
      <c r="I1601" t="s">
        <v>4507</v>
      </c>
      <c r="L1601" t="s">
        <v>291</v>
      </c>
      <c r="M1601" t="s">
        <v>6657</v>
      </c>
    </row>
    <row r="1602" spans="1:13" x14ac:dyDescent="0.25">
      <c r="A1602">
        <v>6462068</v>
      </c>
      <c r="B1602" t="s">
        <v>6658</v>
      </c>
      <c r="C1602" t="str">
        <f>"9783658330422"</f>
        <v>9783658330422</v>
      </c>
      <c r="D1602" t="str">
        <f>"9783658330439"</f>
        <v>9783658330439</v>
      </c>
      <c r="E1602" t="s">
        <v>4472</v>
      </c>
      <c r="F1602" s="1">
        <v>44259</v>
      </c>
      <c r="G1602" t="s">
        <v>6659</v>
      </c>
      <c r="H1602" t="s">
        <v>64</v>
      </c>
      <c r="I1602" t="s">
        <v>2908</v>
      </c>
      <c r="L1602" t="s">
        <v>291</v>
      </c>
      <c r="M1602" t="s">
        <v>6660</v>
      </c>
    </row>
    <row r="1603" spans="1:13" x14ac:dyDescent="0.25">
      <c r="A1603">
        <v>6462818</v>
      </c>
      <c r="B1603" t="s">
        <v>6661</v>
      </c>
      <c r="C1603" t="str">
        <f>"9781800640337"</f>
        <v>9781800640337</v>
      </c>
      <c r="D1603" t="str">
        <f>"9781800640344"</f>
        <v>9781800640344</v>
      </c>
      <c r="E1603" t="s">
        <v>2270</v>
      </c>
      <c r="F1603" s="1">
        <v>44196</v>
      </c>
      <c r="G1603" t="s">
        <v>6662</v>
      </c>
      <c r="H1603" t="s">
        <v>4435</v>
      </c>
      <c r="L1603" t="s">
        <v>20</v>
      </c>
      <c r="M1603" t="s">
        <v>6663</v>
      </c>
    </row>
    <row r="1604" spans="1:13" x14ac:dyDescent="0.25">
      <c r="A1604">
        <v>6462819</v>
      </c>
      <c r="B1604" t="s">
        <v>6664</v>
      </c>
      <c r="C1604" t="str">
        <f>"9781783749096"</f>
        <v>9781783749096</v>
      </c>
      <c r="D1604" t="str">
        <f>"9781783749102"</f>
        <v>9781783749102</v>
      </c>
      <c r="E1604" t="s">
        <v>2270</v>
      </c>
      <c r="F1604" s="1">
        <v>44180</v>
      </c>
      <c r="G1604" t="s">
        <v>6665</v>
      </c>
      <c r="H1604" t="s">
        <v>70</v>
      </c>
      <c r="J1604">
        <v>842.5</v>
      </c>
      <c r="L1604" t="s">
        <v>20</v>
      </c>
      <c r="M1604" t="s">
        <v>6666</v>
      </c>
    </row>
    <row r="1605" spans="1:13" x14ac:dyDescent="0.25">
      <c r="A1605">
        <v>6462820</v>
      </c>
      <c r="B1605" t="s">
        <v>6667</v>
      </c>
      <c r="C1605" t="str">
        <f>"9781783749485"</f>
        <v>9781783749485</v>
      </c>
      <c r="D1605" t="str">
        <f>"9781783749492"</f>
        <v>9781783749492</v>
      </c>
      <c r="E1605" t="s">
        <v>2270</v>
      </c>
      <c r="F1605" s="1">
        <v>44043</v>
      </c>
      <c r="G1605" t="s">
        <v>6668</v>
      </c>
      <c r="H1605" t="s">
        <v>4330</v>
      </c>
      <c r="L1605" t="s">
        <v>20</v>
      </c>
      <c r="M1605" t="s">
        <v>6669</v>
      </c>
    </row>
    <row r="1606" spans="1:13" x14ac:dyDescent="0.25">
      <c r="A1606">
        <v>6462821</v>
      </c>
      <c r="B1606" t="s">
        <v>6670</v>
      </c>
      <c r="C1606" t="str">
        <f>"9781800640368"</f>
        <v>9781800640368</v>
      </c>
      <c r="D1606" t="str">
        <f>"9781800640375"</f>
        <v>9781800640375</v>
      </c>
      <c r="E1606" t="s">
        <v>2270</v>
      </c>
      <c r="F1606" s="1">
        <v>44162</v>
      </c>
      <c r="G1606" t="s">
        <v>6671</v>
      </c>
      <c r="H1606" t="s">
        <v>64</v>
      </c>
      <c r="J1606">
        <v>306.5</v>
      </c>
      <c r="L1606" t="s">
        <v>20</v>
      </c>
      <c r="M1606" t="s">
        <v>6672</v>
      </c>
    </row>
    <row r="1607" spans="1:13" x14ac:dyDescent="0.25">
      <c r="A1607">
        <v>6463481</v>
      </c>
      <c r="B1607" t="s">
        <v>6673</v>
      </c>
      <c r="C1607" t="str">
        <f>"9783030609092"</f>
        <v>9783030609092</v>
      </c>
      <c r="D1607" t="str">
        <f>"9783030609108"</f>
        <v>9783030609108</v>
      </c>
      <c r="E1607" t="s">
        <v>2905</v>
      </c>
      <c r="F1607" s="1">
        <v>44222</v>
      </c>
      <c r="G1607" t="s">
        <v>6674</v>
      </c>
      <c r="H1607" t="s">
        <v>4564</v>
      </c>
      <c r="I1607" t="s">
        <v>6314</v>
      </c>
      <c r="L1607" t="s">
        <v>20</v>
      </c>
      <c r="M1607" t="s">
        <v>6675</v>
      </c>
    </row>
    <row r="1608" spans="1:13" x14ac:dyDescent="0.25">
      <c r="A1608">
        <v>6463794</v>
      </c>
      <c r="B1608" t="s">
        <v>6676</v>
      </c>
      <c r="C1608" t="str">
        <f>"9783030486051"</f>
        <v>9783030486051</v>
      </c>
      <c r="D1608" t="str">
        <f>"9783030486068"</f>
        <v>9783030486068</v>
      </c>
      <c r="E1608" t="s">
        <v>2905</v>
      </c>
      <c r="F1608" s="1">
        <v>44223</v>
      </c>
      <c r="G1608" t="s">
        <v>6677</v>
      </c>
      <c r="H1608" t="s">
        <v>1753</v>
      </c>
      <c r="I1608" t="s">
        <v>6678</v>
      </c>
      <c r="L1608" t="s">
        <v>20</v>
      </c>
      <c r="M1608" t="s">
        <v>6679</v>
      </c>
    </row>
    <row r="1609" spans="1:13" x14ac:dyDescent="0.25">
      <c r="A1609">
        <v>6465590</v>
      </c>
      <c r="B1609" t="s">
        <v>6680</v>
      </c>
      <c r="C1609" t="str">
        <f>"9789813343993"</f>
        <v>9789813343993</v>
      </c>
      <c r="D1609" t="str">
        <f>"9789813344006"</f>
        <v>9789813344006</v>
      </c>
      <c r="E1609" t="s">
        <v>4099</v>
      </c>
      <c r="F1609" s="1">
        <v>44225</v>
      </c>
      <c r="G1609" t="s">
        <v>6681</v>
      </c>
      <c r="H1609" t="s">
        <v>5623</v>
      </c>
      <c r="I1609" t="s">
        <v>6682</v>
      </c>
      <c r="L1609" t="s">
        <v>20</v>
      </c>
      <c r="M1609" t="s">
        <v>6683</v>
      </c>
    </row>
    <row r="1610" spans="1:13" x14ac:dyDescent="0.25">
      <c r="A1610">
        <v>6465591</v>
      </c>
      <c r="B1610" t="s">
        <v>6684</v>
      </c>
      <c r="C1610" t="str">
        <f>"9783030596934"</f>
        <v>9783030596934</v>
      </c>
      <c r="D1610" t="str">
        <f>"9783030596941"</f>
        <v>9783030596941</v>
      </c>
      <c r="E1610" t="s">
        <v>2905</v>
      </c>
      <c r="F1610" s="1">
        <v>44225</v>
      </c>
      <c r="G1610" t="s">
        <v>6685</v>
      </c>
      <c r="H1610" t="s">
        <v>4180</v>
      </c>
      <c r="I1610" t="s">
        <v>5147</v>
      </c>
      <c r="L1610" t="s">
        <v>20</v>
      </c>
      <c r="M1610" t="s">
        <v>6686</v>
      </c>
    </row>
    <row r="1611" spans="1:13" x14ac:dyDescent="0.25">
      <c r="A1611">
        <v>6465855</v>
      </c>
      <c r="B1611" t="s">
        <v>6687</v>
      </c>
      <c r="C1611" t="str">
        <f>"9783030536961"</f>
        <v>9783030536961</v>
      </c>
      <c r="D1611" t="str">
        <f>"9783030536978"</f>
        <v>9783030536978</v>
      </c>
      <c r="E1611" t="s">
        <v>2905</v>
      </c>
      <c r="F1611" s="1">
        <v>44226</v>
      </c>
      <c r="G1611" t="s">
        <v>6688</v>
      </c>
      <c r="H1611" t="s">
        <v>30</v>
      </c>
      <c r="I1611" t="s">
        <v>4807</v>
      </c>
      <c r="J1611">
        <v>351.43</v>
      </c>
      <c r="L1611" t="s">
        <v>20</v>
      </c>
      <c r="M1611" t="s">
        <v>6689</v>
      </c>
    </row>
    <row r="1612" spans="1:13" x14ac:dyDescent="0.25">
      <c r="A1612">
        <v>6465856</v>
      </c>
      <c r="B1612" t="s">
        <v>6690</v>
      </c>
      <c r="C1612" t="str">
        <f>"9783030542597"</f>
        <v>9783030542597</v>
      </c>
      <c r="D1612" t="str">
        <f>"9783030542603"</f>
        <v>9783030542603</v>
      </c>
      <c r="E1612" t="s">
        <v>2905</v>
      </c>
      <c r="F1612" s="1">
        <v>44227</v>
      </c>
      <c r="G1612" t="s">
        <v>6691</v>
      </c>
      <c r="H1612" t="s">
        <v>2258</v>
      </c>
      <c r="I1612" t="s">
        <v>6692</v>
      </c>
      <c r="L1612" t="s">
        <v>20</v>
      </c>
      <c r="M1612" t="s">
        <v>6693</v>
      </c>
    </row>
    <row r="1613" spans="1:13" x14ac:dyDescent="0.25">
      <c r="A1613">
        <v>6465857</v>
      </c>
      <c r="B1613" t="s">
        <v>6694</v>
      </c>
      <c r="C1613" t="str">
        <f>"9783030553951"</f>
        <v>9783030553951</v>
      </c>
      <c r="D1613" t="str">
        <f>"9783030553968"</f>
        <v>9783030553968</v>
      </c>
      <c r="E1613" t="s">
        <v>2905</v>
      </c>
      <c r="F1613" s="1">
        <v>44226</v>
      </c>
      <c r="G1613" t="s">
        <v>6695</v>
      </c>
      <c r="H1613" t="s">
        <v>83</v>
      </c>
      <c r="I1613" t="s">
        <v>4615</v>
      </c>
      <c r="L1613" t="s">
        <v>20</v>
      </c>
      <c r="M1613" t="s">
        <v>6696</v>
      </c>
    </row>
    <row r="1614" spans="1:13" x14ac:dyDescent="0.25">
      <c r="A1614">
        <v>6465859</v>
      </c>
      <c r="B1614" t="s">
        <v>6697</v>
      </c>
      <c r="C1614" t="str">
        <f>"9789811586316"</f>
        <v>9789811586316</v>
      </c>
      <c r="D1614" t="str">
        <f>"9789811586323"</f>
        <v>9789811586323</v>
      </c>
      <c r="E1614" t="s">
        <v>2906</v>
      </c>
      <c r="F1614" s="1">
        <v>44226</v>
      </c>
      <c r="G1614" t="s">
        <v>6698</v>
      </c>
      <c r="H1614" t="s">
        <v>2603</v>
      </c>
      <c r="I1614" t="s">
        <v>4573</v>
      </c>
      <c r="L1614" t="s">
        <v>20</v>
      </c>
      <c r="M1614" t="s">
        <v>6699</v>
      </c>
    </row>
    <row r="1615" spans="1:13" x14ac:dyDescent="0.25">
      <c r="A1615">
        <v>6466935</v>
      </c>
      <c r="B1615" t="s">
        <v>6700</v>
      </c>
      <c r="C1615" t="str">
        <f>"9789811588471"</f>
        <v>9789811588471</v>
      </c>
      <c r="D1615" t="str">
        <f>"9789811588488"</f>
        <v>9789811588488</v>
      </c>
      <c r="E1615" t="s">
        <v>4099</v>
      </c>
      <c r="F1615" s="1">
        <v>44229</v>
      </c>
      <c r="G1615" t="s">
        <v>6701</v>
      </c>
      <c r="H1615" t="s">
        <v>239</v>
      </c>
      <c r="I1615" t="s">
        <v>6702</v>
      </c>
      <c r="L1615" t="s">
        <v>20</v>
      </c>
      <c r="M1615" t="s">
        <v>6703</v>
      </c>
    </row>
    <row r="1616" spans="1:13" x14ac:dyDescent="0.25">
      <c r="A1616">
        <v>6466936</v>
      </c>
      <c r="B1616" t="s">
        <v>6704</v>
      </c>
      <c r="C1616" t="str">
        <f>"9783030453664"</f>
        <v>9783030453664</v>
      </c>
      <c r="D1616" t="str">
        <f>"9783030453671"</f>
        <v>9783030453671</v>
      </c>
      <c r="E1616" t="s">
        <v>2905</v>
      </c>
      <c r="F1616" s="1">
        <v>44229</v>
      </c>
      <c r="G1616" t="s">
        <v>6705</v>
      </c>
      <c r="H1616" t="s">
        <v>2614</v>
      </c>
      <c r="I1616" t="s">
        <v>4573</v>
      </c>
      <c r="L1616" t="s">
        <v>20</v>
      </c>
      <c r="M1616" t="s">
        <v>6706</v>
      </c>
    </row>
    <row r="1617" spans="1:13" x14ac:dyDescent="0.25">
      <c r="A1617">
        <v>6473948</v>
      </c>
      <c r="B1617" t="s">
        <v>6707</v>
      </c>
      <c r="C1617" t="str">
        <f>"9780472132355"</f>
        <v>9780472132355</v>
      </c>
      <c r="D1617" t="str">
        <f>"9780472128563"</f>
        <v>9780472128563</v>
      </c>
      <c r="E1617" t="s">
        <v>6708</v>
      </c>
      <c r="F1617" s="1">
        <v>44285</v>
      </c>
      <c r="G1617" t="s">
        <v>6709</v>
      </c>
      <c r="H1617" t="s">
        <v>30</v>
      </c>
      <c r="I1617" t="s">
        <v>6710</v>
      </c>
      <c r="J1617" t="s">
        <v>6711</v>
      </c>
      <c r="K1617" t="s">
        <v>6712</v>
      </c>
      <c r="L1617" t="s">
        <v>20</v>
      </c>
      <c r="M1617" t="s">
        <v>6713</v>
      </c>
    </row>
    <row r="1618" spans="1:13" x14ac:dyDescent="0.25">
      <c r="A1618">
        <v>6473956</v>
      </c>
      <c r="B1618" t="s">
        <v>6714</v>
      </c>
      <c r="C1618" t="str">
        <f>"9783030555665"</f>
        <v>9783030555665</v>
      </c>
      <c r="D1618" t="str">
        <f>"9783030555672"</f>
        <v>9783030555672</v>
      </c>
      <c r="E1618" t="s">
        <v>2905</v>
      </c>
      <c r="F1618" s="1">
        <v>44236</v>
      </c>
      <c r="G1618" t="s">
        <v>6715</v>
      </c>
      <c r="H1618" t="s">
        <v>120</v>
      </c>
      <c r="I1618" t="s">
        <v>5033</v>
      </c>
      <c r="J1618">
        <v>362.40967999999998</v>
      </c>
      <c r="L1618" t="s">
        <v>20</v>
      </c>
      <c r="M1618" t="s">
        <v>6716</v>
      </c>
    </row>
    <row r="1619" spans="1:13" x14ac:dyDescent="0.25">
      <c r="A1619">
        <v>6473957</v>
      </c>
      <c r="B1619" t="s">
        <v>6717</v>
      </c>
      <c r="C1619" t="str">
        <f>"9783658317348"</f>
        <v>9783658317348</v>
      </c>
      <c r="D1619" t="str">
        <f>"9783658317355"</f>
        <v>9783658317355</v>
      </c>
      <c r="E1619" t="s">
        <v>4472</v>
      </c>
      <c r="F1619" s="1">
        <v>44236</v>
      </c>
      <c r="G1619" t="s">
        <v>6718</v>
      </c>
      <c r="H1619" t="s">
        <v>1753</v>
      </c>
      <c r="I1619" t="s">
        <v>6719</v>
      </c>
      <c r="L1619" t="s">
        <v>291</v>
      </c>
      <c r="M1619" t="s">
        <v>6720</v>
      </c>
    </row>
    <row r="1620" spans="1:13" x14ac:dyDescent="0.25">
      <c r="A1620">
        <v>6475818</v>
      </c>
      <c r="B1620" t="s">
        <v>6721</v>
      </c>
      <c r="C1620" t="str">
        <f>"9783030577636"</f>
        <v>9783030577636</v>
      </c>
      <c r="D1620" t="str">
        <f>"9783030577643"</f>
        <v>9783030577643</v>
      </c>
      <c r="E1620" t="s">
        <v>2905</v>
      </c>
      <c r="F1620" s="1">
        <v>44237</v>
      </c>
      <c r="G1620" t="s">
        <v>6722</v>
      </c>
      <c r="H1620" t="s">
        <v>5236</v>
      </c>
      <c r="I1620" t="s">
        <v>6723</v>
      </c>
      <c r="L1620" t="s">
        <v>20</v>
      </c>
      <c r="M1620" t="s">
        <v>6724</v>
      </c>
    </row>
    <row r="1621" spans="1:13" x14ac:dyDescent="0.25">
      <c r="A1621">
        <v>6475844</v>
      </c>
      <c r="B1621" t="s">
        <v>6725</v>
      </c>
      <c r="C1621" t="str">
        <f>"9781783749768"</f>
        <v>9781783749768</v>
      </c>
      <c r="D1621" t="str">
        <f>"9781783749775"</f>
        <v>9781783749775</v>
      </c>
      <c r="E1621" t="s">
        <v>2270</v>
      </c>
      <c r="F1621" s="1">
        <v>44244</v>
      </c>
      <c r="G1621" t="s">
        <v>6726</v>
      </c>
      <c r="H1621" t="s">
        <v>6727</v>
      </c>
      <c r="L1621" t="s">
        <v>20</v>
      </c>
      <c r="M1621" t="s">
        <v>6728</v>
      </c>
    </row>
    <row r="1622" spans="1:13" x14ac:dyDescent="0.25">
      <c r="A1622">
        <v>6476011</v>
      </c>
      <c r="B1622" t="s">
        <v>6729</v>
      </c>
      <c r="C1622" t="str">
        <f>"9783030525873"</f>
        <v>9783030525873</v>
      </c>
      <c r="D1622" t="str">
        <f>"9783030525880"</f>
        <v>9783030525880</v>
      </c>
      <c r="E1622" t="s">
        <v>2905</v>
      </c>
      <c r="F1622" s="1">
        <v>44236</v>
      </c>
      <c r="G1622" t="s">
        <v>6730</v>
      </c>
      <c r="H1622" t="s">
        <v>64</v>
      </c>
      <c r="I1622" t="s">
        <v>5120</v>
      </c>
      <c r="L1622" t="s">
        <v>20</v>
      </c>
      <c r="M1622" t="s">
        <v>6731</v>
      </c>
    </row>
    <row r="1623" spans="1:13" x14ac:dyDescent="0.25">
      <c r="A1623">
        <v>6476019</v>
      </c>
      <c r="B1623" t="s">
        <v>6732</v>
      </c>
      <c r="C1623" t="str">
        <f>"9789813341258"</f>
        <v>9789813341258</v>
      </c>
      <c r="D1623" t="str">
        <f>"9789813341265"</f>
        <v>9789813341265</v>
      </c>
      <c r="E1623" t="s">
        <v>4099</v>
      </c>
      <c r="F1623" s="1">
        <v>44236</v>
      </c>
      <c r="G1623" t="s">
        <v>6733</v>
      </c>
      <c r="H1623" t="s">
        <v>1753</v>
      </c>
      <c r="I1623" t="s">
        <v>6435</v>
      </c>
      <c r="L1623" t="s">
        <v>20</v>
      </c>
      <c r="M1623" t="s">
        <v>6734</v>
      </c>
    </row>
    <row r="1624" spans="1:13" x14ac:dyDescent="0.25">
      <c r="A1624">
        <v>6476601</v>
      </c>
      <c r="B1624" t="s">
        <v>6735</v>
      </c>
      <c r="C1624" t="str">
        <f>"9783030576684"</f>
        <v>9783030576684</v>
      </c>
      <c r="D1624" t="str">
        <f>"9783030576691"</f>
        <v>9783030576691</v>
      </c>
      <c r="E1624" t="s">
        <v>2905</v>
      </c>
      <c r="F1624" s="1">
        <v>44238</v>
      </c>
      <c r="G1624" t="s">
        <v>6736</v>
      </c>
      <c r="H1624" t="s">
        <v>139</v>
      </c>
      <c r="I1624" t="s">
        <v>6737</v>
      </c>
      <c r="L1624" t="s">
        <v>20</v>
      </c>
      <c r="M1624" t="s">
        <v>6738</v>
      </c>
    </row>
    <row r="1625" spans="1:13" x14ac:dyDescent="0.25">
      <c r="A1625">
        <v>6476602</v>
      </c>
      <c r="B1625" t="s">
        <v>6739</v>
      </c>
      <c r="C1625" t="str">
        <f>"9783658321055"</f>
        <v>9783658321055</v>
      </c>
      <c r="D1625" t="str">
        <f>"9783658321062"</f>
        <v>9783658321062</v>
      </c>
      <c r="E1625" t="s">
        <v>4472</v>
      </c>
      <c r="F1625" s="1">
        <v>44239</v>
      </c>
      <c r="G1625" t="s">
        <v>6740</v>
      </c>
      <c r="H1625" t="s">
        <v>30</v>
      </c>
      <c r="I1625" t="s">
        <v>5108</v>
      </c>
      <c r="L1625" t="s">
        <v>291</v>
      </c>
      <c r="M1625" t="s">
        <v>6741</v>
      </c>
    </row>
    <row r="1626" spans="1:13" x14ac:dyDescent="0.25">
      <c r="A1626">
        <v>6478284</v>
      </c>
      <c r="B1626" t="s">
        <v>6742</v>
      </c>
      <c r="C1626" t="str">
        <f>"9783030562144"</f>
        <v>9783030562144</v>
      </c>
      <c r="D1626" t="str">
        <f>"9783030562151"</f>
        <v>9783030562151</v>
      </c>
      <c r="E1626" t="s">
        <v>2905</v>
      </c>
      <c r="F1626" s="1">
        <v>44238</v>
      </c>
      <c r="G1626" t="s">
        <v>6743</v>
      </c>
      <c r="H1626" t="s">
        <v>712</v>
      </c>
      <c r="I1626" t="s">
        <v>6744</v>
      </c>
      <c r="L1626" t="s">
        <v>20</v>
      </c>
      <c r="M1626" t="s">
        <v>6745</v>
      </c>
    </row>
    <row r="1627" spans="1:13" x14ac:dyDescent="0.25">
      <c r="A1627">
        <v>6478465</v>
      </c>
      <c r="B1627" t="s">
        <v>6746</v>
      </c>
      <c r="C1627" t="str">
        <f>"9783030541729"</f>
        <v>9783030541729</v>
      </c>
      <c r="D1627" t="str">
        <f>"9783030541736"</f>
        <v>9783030541736</v>
      </c>
      <c r="E1627" t="s">
        <v>2905</v>
      </c>
      <c r="F1627" s="1">
        <v>44240</v>
      </c>
      <c r="G1627" t="s">
        <v>6747</v>
      </c>
      <c r="H1627" t="s">
        <v>1586</v>
      </c>
      <c r="I1627" t="s">
        <v>6748</v>
      </c>
      <c r="L1627" t="s">
        <v>20</v>
      </c>
      <c r="M1627" t="s">
        <v>6749</v>
      </c>
    </row>
    <row r="1628" spans="1:13" x14ac:dyDescent="0.25">
      <c r="A1628">
        <v>6478860</v>
      </c>
      <c r="B1628" t="s">
        <v>6750</v>
      </c>
      <c r="C1628" t="str">
        <f>"9781783747184"</f>
        <v>9781783747184</v>
      </c>
      <c r="D1628" t="str">
        <f>"9781783747191"</f>
        <v>9781783747191</v>
      </c>
      <c r="E1628" t="s">
        <v>2270</v>
      </c>
      <c r="F1628" s="1">
        <v>43780</v>
      </c>
      <c r="G1628" t="s">
        <v>6751</v>
      </c>
      <c r="H1628" t="s">
        <v>64</v>
      </c>
      <c r="L1628" t="s">
        <v>20</v>
      </c>
      <c r="M1628" t="s">
        <v>6752</v>
      </c>
    </row>
    <row r="1629" spans="1:13" x14ac:dyDescent="0.25">
      <c r="A1629">
        <v>6478895</v>
      </c>
      <c r="B1629" t="s">
        <v>6753</v>
      </c>
      <c r="C1629" t="str">
        <f>"9783030610708"</f>
        <v>9783030610708</v>
      </c>
      <c r="D1629" t="str">
        <f>"9783030610715"</f>
        <v>9783030610715</v>
      </c>
      <c r="E1629" t="s">
        <v>2905</v>
      </c>
      <c r="F1629" s="1">
        <v>44243</v>
      </c>
      <c r="G1629" t="s">
        <v>6754</v>
      </c>
      <c r="H1629" t="s">
        <v>83</v>
      </c>
      <c r="I1629" t="s">
        <v>5154</v>
      </c>
      <c r="J1629">
        <v>363.70099299999998</v>
      </c>
      <c r="L1629" t="s">
        <v>20</v>
      </c>
      <c r="M1629" t="s">
        <v>6755</v>
      </c>
    </row>
    <row r="1630" spans="1:13" x14ac:dyDescent="0.25">
      <c r="A1630">
        <v>6478926</v>
      </c>
      <c r="B1630" t="s">
        <v>6756</v>
      </c>
      <c r="C1630" t="str">
        <f>"9789811513459"</f>
        <v>9789811513459</v>
      </c>
      <c r="D1630" t="str">
        <f>"9789811513466"</f>
        <v>9789811513466</v>
      </c>
      <c r="E1630" t="s">
        <v>2906</v>
      </c>
      <c r="F1630" s="1">
        <v>44242</v>
      </c>
      <c r="G1630" t="s">
        <v>6757</v>
      </c>
      <c r="H1630" t="s">
        <v>266</v>
      </c>
      <c r="I1630" t="s">
        <v>6758</v>
      </c>
      <c r="J1630">
        <v>617.52058999999997</v>
      </c>
      <c r="L1630" t="s">
        <v>20</v>
      </c>
      <c r="M1630" t="s">
        <v>6759</v>
      </c>
    </row>
    <row r="1631" spans="1:13" x14ac:dyDescent="0.25">
      <c r="A1631">
        <v>6480189</v>
      </c>
      <c r="B1631" t="s">
        <v>6760</v>
      </c>
      <c r="C1631" t="str">
        <f>"9783030680411"</f>
        <v>9783030680411</v>
      </c>
      <c r="D1631" t="str">
        <f>"9783030680428"</f>
        <v>9783030680428</v>
      </c>
      <c r="E1631" t="s">
        <v>2905</v>
      </c>
      <c r="F1631" s="1">
        <v>44243</v>
      </c>
      <c r="G1631" t="s">
        <v>6761</v>
      </c>
      <c r="H1631" t="s">
        <v>30</v>
      </c>
      <c r="I1631" t="s">
        <v>4734</v>
      </c>
      <c r="J1631">
        <v>327.101</v>
      </c>
      <c r="L1631" t="s">
        <v>20</v>
      </c>
      <c r="M1631" t="s">
        <v>6762</v>
      </c>
    </row>
    <row r="1632" spans="1:13" x14ac:dyDescent="0.25">
      <c r="A1632">
        <v>6483075</v>
      </c>
      <c r="B1632" t="s">
        <v>6763</v>
      </c>
      <c r="C1632" t="str">
        <f>"9783030644918"</f>
        <v>9783030644918</v>
      </c>
      <c r="D1632" t="str">
        <f>"9783030644925"</f>
        <v>9783030644925</v>
      </c>
      <c r="E1632" t="s">
        <v>2905</v>
      </c>
      <c r="F1632" s="1">
        <v>44247</v>
      </c>
      <c r="G1632" t="s">
        <v>6764</v>
      </c>
      <c r="H1632" t="s">
        <v>266</v>
      </c>
      <c r="I1632" t="s">
        <v>6765</v>
      </c>
      <c r="L1632" t="s">
        <v>20</v>
      </c>
      <c r="M1632" t="s">
        <v>6766</v>
      </c>
    </row>
    <row r="1633" spans="1:13" x14ac:dyDescent="0.25">
      <c r="A1633">
        <v>6484616</v>
      </c>
      <c r="B1633" t="s">
        <v>6767</v>
      </c>
      <c r="C1633" t="str">
        <f>"9783658330187"</f>
        <v>9783658330187</v>
      </c>
      <c r="D1633" t="str">
        <f>"9783658330194"</f>
        <v>9783658330194</v>
      </c>
      <c r="E1633" t="s">
        <v>4472</v>
      </c>
      <c r="F1633" s="1">
        <v>44286</v>
      </c>
      <c r="G1633" t="s">
        <v>6768</v>
      </c>
      <c r="H1633" t="s">
        <v>64</v>
      </c>
      <c r="I1633" t="s">
        <v>2908</v>
      </c>
      <c r="L1633" t="s">
        <v>291</v>
      </c>
      <c r="M1633" t="s">
        <v>6769</v>
      </c>
    </row>
    <row r="1634" spans="1:13" x14ac:dyDescent="0.25">
      <c r="A1634">
        <v>6489591</v>
      </c>
      <c r="B1634" t="s">
        <v>6770</v>
      </c>
      <c r="C1634" t="str">
        <f>"9781800641082"</f>
        <v>9781800641082</v>
      </c>
      <c r="D1634" t="str">
        <f>"9781800641099"</f>
        <v>9781800641099</v>
      </c>
      <c r="E1634" t="s">
        <v>2270</v>
      </c>
      <c r="F1634" s="1">
        <v>44228</v>
      </c>
      <c r="G1634" t="s">
        <v>6771</v>
      </c>
      <c r="H1634" t="s">
        <v>6772</v>
      </c>
      <c r="L1634" t="s">
        <v>20</v>
      </c>
      <c r="M1634" t="s">
        <v>6773</v>
      </c>
    </row>
    <row r="1635" spans="1:13" x14ac:dyDescent="0.25">
      <c r="A1635">
        <v>6491804</v>
      </c>
      <c r="B1635" t="s">
        <v>6774</v>
      </c>
      <c r="C1635" t="str">
        <f>"9783030609139"</f>
        <v>9783030609139</v>
      </c>
      <c r="D1635" t="str">
        <f>"9783030609146"</f>
        <v>9783030609146</v>
      </c>
      <c r="E1635" t="s">
        <v>2905</v>
      </c>
      <c r="F1635" s="1">
        <v>44251</v>
      </c>
      <c r="G1635" t="s">
        <v>6775</v>
      </c>
      <c r="H1635" t="s">
        <v>1753</v>
      </c>
      <c r="I1635" t="s">
        <v>4588</v>
      </c>
      <c r="L1635" t="s">
        <v>20</v>
      </c>
      <c r="M1635" t="s">
        <v>6776</v>
      </c>
    </row>
    <row r="1636" spans="1:13" x14ac:dyDescent="0.25">
      <c r="A1636">
        <v>6501383</v>
      </c>
      <c r="B1636" t="s">
        <v>6777</v>
      </c>
      <c r="C1636" t="str">
        <f>"9783030604059"</f>
        <v>9783030604059</v>
      </c>
      <c r="D1636" t="str">
        <f>"9783030604066"</f>
        <v>9783030604066</v>
      </c>
      <c r="E1636" t="s">
        <v>2905</v>
      </c>
      <c r="F1636" s="1">
        <v>44254</v>
      </c>
      <c r="G1636" t="s">
        <v>6778</v>
      </c>
      <c r="H1636" t="s">
        <v>139</v>
      </c>
      <c r="I1636" t="s">
        <v>6236</v>
      </c>
      <c r="J1636">
        <v>930.1</v>
      </c>
      <c r="L1636" t="s">
        <v>20</v>
      </c>
      <c r="M1636" t="s">
        <v>6779</v>
      </c>
    </row>
    <row r="1637" spans="1:13" x14ac:dyDescent="0.25">
      <c r="A1637">
        <v>6508324</v>
      </c>
      <c r="B1637" t="s">
        <v>6780</v>
      </c>
      <c r="C1637" t="str">
        <f>"9781800640245"</f>
        <v>9781800640245</v>
      </c>
      <c r="D1637" t="str">
        <f>"9781800640252"</f>
        <v>9781800640252</v>
      </c>
      <c r="E1637" t="s">
        <v>2270</v>
      </c>
      <c r="F1637" s="1">
        <v>44255</v>
      </c>
      <c r="G1637" t="s">
        <v>6781</v>
      </c>
      <c r="H1637" t="s">
        <v>70</v>
      </c>
      <c r="L1637" t="s">
        <v>20</v>
      </c>
      <c r="M1637" t="s">
        <v>6782</v>
      </c>
    </row>
    <row r="1638" spans="1:13" x14ac:dyDescent="0.25">
      <c r="A1638">
        <v>6508426</v>
      </c>
      <c r="B1638" t="s">
        <v>6783</v>
      </c>
      <c r="C1638" t="str">
        <f>"9789813363410"</f>
        <v>9789813363410</v>
      </c>
      <c r="D1638" t="str">
        <f>"9789813363427"</f>
        <v>9789813363427</v>
      </c>
      <c r="E1638" t="s">
        <v>4099</v>
      </c>
      <c r="F1638" s="1">
        <v>44251</v>
      </c>
      <c r="G1638" t="s">
        <v>6784</v>
      </c>
      <c r="H1638" t="s">
        <v>1586</v>
      </c>
      <c r="I1638" t="s">
        <v>6785</v>
      </c>
      <c r="L1638" t="s">
        <v>20</v>
      </c>
      <c r="M1638" t="s">
        <v>6786</v>
      </c>
    </row>
    <row r="1639" spans="1:13" x14ac:dyDescent="0.25">
      <c r="A1639">
        <v>6509881</v>
      </c>
      <c r="B1639" t="s">
        <v>6787</v>
      </c>
      <c r="C1639" t="str">
        <f>"9783662622148"</f>
        <v>9783662622148</v>
      </c>
      <c r="D1639" t="str">
        <f>"9783662622155"</f>
        <v>9783662622155</v>
      </c>
      <c r="E1639" t="s">
        <v>4540</v>
      </c>
      <c r="F1639" s="1">
        <v>44254</v>
      </c>
      <c r="G1639" t="s">
        <v>6788</v>
      </c>
      <c r="H1639" t="s">
        <v>1753</v>
      </c>
      <c r="I1639" t="s">
        <v>4569</v>
      </c>
      <c r="L1639" t="s">
        <v>291</v>
      </c>
      <c r="M1639" t="s">
        <v>6789</v>
      </c>
    </row>
    <row r="1640" spans="1:13" x14ac:dyDescent="0.25">
      <c r="A1640">
        <v>6509883</v>
      </c>
      <c r="B1640" t="s">
        <v>6790</v>
      </c>
      <c r="C1640" t="str">
        <f>"9783030624750"</f>
        <v>9783030624750</v>
      </c>
      <c r="D1640" t="str">
        <f>"9783030624767"</f>
        <v>9783030624767</v>
      </c>
      <c r="E1640" t="s">
        <v>2905</v>
      </c>
      <c r="F1640" s="1">
        <v>44254</v>
      </c>
      <c r="G1640" t="s">
        <v>6791</v>
      </c>
      <c r="H1640" t="s">
        <v>4564</v>
      </c>
      <c r="I1640" t="s">
        <v>5454</v>
      </c>
      <c r="L1640" t="s">
        <v>20</v>
      </c>
      <c r="M1640" t="s">
        <v>6792</v>
      </c>
    </row>
    <row r="1641" spans="1:13" x14ac:dyDescent="0.25">
      <c r="A1641">
        <v>6509884</v>
      </c>
      <c r="B1641" t="s">
        <v>6793</v>
      </c>
      <c r="C1641" t="str">
        <f>"9783030657703"</f>
        <v>9783030657703</v>
      </c>
      <c r="D1641" t="str">
        <f>"9783030657710"</f>
        <v>9783030657710</v>
      </c>
      <c r="E1641" t="s">
        <v>2905</v>
      </c>
      <c r="F1641" s="1">
        <v>44254</v>
      </c>
      <c r="G1641" t="s">
        <v>6794</v>
      </c>
      <c r="H1641" t="s">
        <v>2569</v>
      </c>
      <c r="I1641" t="s">
        <v>6567</v>
      </c>
      <c r="L1641" t="s">
        <v>20</v>
      </c>
      <c r="M1641" t="s">
        <v>6795</v>
      </c>
    </row>
    <row r="1642" spans="1:13" x14ac:dyDescent="0.25">
      <c r="A1642">
        <v>6509886</v>
      </c>
      <c r="B1642" t="s">
        <v>6796</v>
      </c>
      <c r="C1642" t="str">
        <f>"9783030667870"</f>
        <v>9783030667870</v>
      </c>
      <c r="D1642" t="str">
        <f>"9783030667887"</f>
        <v>9783030667887</v>
      </c>
      <c r="E1642" t="s">
        <v>2905</v>
      </c>
      <c r="F1642" s="1">
        <v>44254</v>
      </c>
      <c r="G1642" t="s">
        <v>6797</v>
      </c>
      <c r="H1642" t="s">
        <v>363</v>
      </c>
      <c r="I1642" t="s">
        <v>4235</v>
      </c>
      <c r="L1642" t="s">
        <v>20</v>
      </c>
      <c r="M1642" t="s">
        <v>6798</v>
      </c>
    </row>
    <row r="1643" spans="1:13" x14ac:dyDescent="0.25">
      <c r="A1643">
        <v>6511378</v>
      </c>
      <c r="B1643" t="s">
        <v>6799</v>
      </c>
      <c r="C1643" t="str">
        <f>"9783030636920"</f>
        <v>9783030636920</v>
      </c>
      <c r="D1643" t="str">
        <f>"9783030636937"</f>
        <v>9783030636937</v>
      </c>
      <c r="E1643" t="s">
        <v>2905</v>
      </c>
      <c r="F1643" s="1">
        <v>44261</v>
      </c>
      <c r="G1643" t="s">
        <v>6800</v>
      </c>
      <c r="H1643" t="s">
        <v>5236</v>
      </c>
      <c r="I1643" t="s">
        <v>6723</v>
      </c>
      <c r="L1643" t="s">
        <v>20</v>
      </c>
      <c r="M1643" t="s">
        <v>6801</v>
      </c>
    </row>
    <row r="1644" spans="1:13" x14ac:dyDescent="0.25">
      <c r="A1644">
        <v>6511411</v>
      </c>
      <c r="B1644" t="s">
        <v>6802</v>
      </c>
      <c r="C1644" t="str">
        <f>"9783030589158"</f>
        <v>9783030589158</v>
      </c>
      <c r="D1644" t="str">
        <f>"9783030589165"</f>
        <v>9783030589165</v>
      </c>
      <c r="E1644" t="s">
        <v>2905</v>
      </c>
      <c r="F1644" s="1">
        <v>44259</v>
      </c>
      <c r="G1644" t="s">
        <v>6803</v>
      </c>
      <c r="H1644" t="s">
        <v>239</v>
      </c>
      <c r="I1644" t="s">
        <v>6804</v>
      </c>
      <c r="J1644">
        <v>346.07</v>
      </c>
      <c r="L1644" t="s">
        <v>20</v>
      </c>
      <c r="M1644" t="s">
        <v>6805</v>
      </c>
    </row>
    <row r="1645" spans="1:13" x14ac:dyDescent="0.25">
      <c r="A1645">
        <v>6511461</v>
      </c>
      <c r="B1645" t="s">
        <v>6806</v>
      </c>
      <c r="C1645" t="str">
        <f>"9783658326005"</f>
        <v>9783658326005</v>
      </c>
      <c r="D1645" t="str">
        <f>"9783658326012"</f>
        <v>9783658326012</v>
      </c>
      <c r="E1645" t="s">
        <v>4472</v>
      </c>
      <c r="F1645" s="1">
        <v>44261</v>
      </c>
      <c r="G1645" t="s">
        <v>6807</v>
      </c>
      <c r="H1645" t="s">
        <v>30</v>
      </c>
      <c r="I1645" t="s">
        <v>4807</v>
      </c>
      <c r="L1645" t="s">
        <v>291</v>
      </c>
      <c r="M1645" t="s">
        <v>6808</v>
      </c>
    </row>
    <row r="1646" spans="1:13" x14ac:dyDescent="0.25">
      <c r="A1646">
        <v>6511466</v>
      </c>
      <c r="B1646" t="s">
        <v>6809</v>
      </c>
      <c r="C1646" t="str">
        <f>"9783030664015"</f>
        <v>9783030664015</v>
      </c>
      <c r="D1646" t="str">
        <f>"9783030664022"</f>
        <v>9783030664022</v>
      </c>
      <c r="E1646" t="s">
        <v>2905</v>
      </c>
      <c r="F1646" s="1">
        <v>44261</v>
      </c>
      <c r="G1646" t="s">
        <v>6810</v>
      </c>
      <c r="H1646" t="s">
        <v>5777</v>
      </c>
      <c r="I1646" t="s">
        <v>6811</v>
      </c>
      <c r="J1646">
        <v>523.72</v>
      </c>
      <c r="L1646" t="s">
        <v>20</v>
      </c>
      <c r="M1646" t="s">
        <v>6812</v>
      </c>
    </row>
    <row r="1647" spans="1:13" x14ac:dyDescent="0.25">
      <c r="A1647">
        <v>6511500</v>
      </c>
      <c r="B1647" t="s">
        <v>6813</v>
      </c>
      <c r="C1647" t="str">
        <f>"9789813367050"</f>
        <v>9789813367050</v>
      </c>
      <c r="D1647" t="str">
        <f>"9789813367067"</f>
        <v>9789813367067</v>
      </c>
      <c r="E1647" t="s">
        <v>4099</v>
      </c>
      <c r="F1647" s="1">
        <v>44258</v>
      </c>
      <c r="G1647" t="s">
        <v>6814</v>
      </c>
      <c r="H1647" t="s">
        <v>2047</v>
      </c>
      <c r="I1647" t="s">
        <v>6285</v>
      </c>
      <c r="J1647">
        <v>177.1</v>
      </c>
      <c r="L1647" t="s">
        <v>20</v>
      </c>
      <c r="M1647" t="s">
        <v>6815</v>
      </c>
    </row>
    <row r="1648" spans="1:13" x14ac:dyDescent="0.25">
      <c r="A1648">
        <v>6511547</v>
      </c>
      <c r="B1648" t="s">
        <v>6816</v>
      </c>
      <c r="C1648" t="str">
        <f>"9783658323226"</f>
        <v>9783658323226</v>
      </c>
      <c r="D1648" t="str">
        <f>"9783658323233"</f>
        <v>9783658323233</v>
      </c>
      <c r="E1648" t="s">
        <v>4472</v>
      </c>
      <c r="F1648" s="1">
        <v>44261</v>
      </c>
      <c r="G1648" t="s">
        <v>6060</v>
      </c>
      <c r="H1648" t="s">
        <v>1753</v>
      </c>
      <c r="I1648" t="s">
        <v>4569</v>
      </c>
      <c r="L1648" t="s">
        <v>291</v>
      </c>
      <c r="M1648" t="s">
        <v>6817</v>
      </c>
    </row>
    <row r="1649" spans="1:13" x14ac:dyDescent="0.25">
      <c r="A1649">
        <v>6511553</v>
      </c>
      <c r="B1649" t="s">
        <v>6818</v>
      </c>
      <c r="C1649" t="str">
        <f>"9783658329051"</f>
        <v>9783658329051</v>
      </c>
      <c r="D1649" t="str">
        <f>"9783658329068"</f>
        <v>9783658329068</v>
      </c>
      <c r="E1649" t="s">
        <v>4472</v>
      </c>
      <c r="F1649" s="1">
        <v>44261</v>
      </c>
      <c r="G1649" t="s">
        <v>6819</v>
      </c>
      <c r="H1649" t="s">
        <v>363</v>
      </c>
      <c r="I1649" t="s">
        <v>4507</v>
      </c>
      <c r="L1649" t="s">
        <v>291</v>
      </c>
      <c r="M1649" t="s">
        <v>6820</v>
      </c>
    </row>
    <row r="1650" spans="1:13" x14ac:dyDescent="0.25">
      <c r="A1650">
        <v>6511582</v>
      </c>
      <c r="B1650" t="s">
        <v>6821</v>
      </c>
      <c r="C1650" t="str">
        <f>"9789811593345"</f>
        <v>9789811593345</v>
      </c>
      <c r="D1650" t="str">
        <f>"9789811593352"</f>
        <v>9789811593352</v>
      </c>
      <c r="E1650" t="s">
        <v>4099</v>
      </c>
      <c r="F1650" s="1">
        <v>44261</v>
      </c>
      <c r="G1650" t="s">
        <v>6822</v>
      </c>
      <c r="H1650" t="s">
        <v>1283</v>
      </c>
      <c r="I1650" t="s">
        <v>5683</v>
      </c>
      <c r="L1650" t="s">
        <v>20</v>
      </c>
      <c r="M1650" t="s">
        <v>6823</v>
      </c>
    </row>
    <row r="1651" spans="1:13" x14ac:dyDescent="0.25">
      <c r="A1651">
        <v>6513467</v>
      </c>
      <c r="B1651" t="s">
        <v>6824</v>
      </c>
      <c r="C1651" t="str">
        <f>"9783030527372"</f>
        <v>9783030527372</v>
      </c>
      <c r="D1651" t="str">
        <f>"9783030527389"</f>
        <v>9783030527389</v>
      </c>
      <c r="E1651" t="s">
        <v>2905</v>
      </c>
      <c r="F1651" s="1">
        <v>44148</v>
      </c>
      <c r="G1651" t="s">
        <v>6825</v>
      </c>
      <c r="H1651" t="s">
        <v>239</v>
      </c>
      <c r="I1651" t="s">
        <v>5800</v>
      </c>
      <c r="L1651" t="s">
        <v>20</v>
      </c>
      <c r="M1651" t="s">
        <v>6826</v>
      </c>
    </row>
    <row r="1652" spans="1:13" x14ac:dyDescent="0.25">
      <c r="A1652">
        <v>6515569</v>
      </c>
      <c r="B1652" t="s">
        <v>6827</v>
      </c>
      <c r="C1652" t="str">
        <f>"9783658186708"</f>
        <v>9783658186708</v>
      </c>
      <c r="D1652" t="str">
        <f>"9783658186715"</f>
        <v>9783658186715</v>
      </c>
      <c r="E1652" t="s">
        <v>4472</v>
      </c>
      <c r="F1652" s="1">
        <v>44267</v>
      </c>
      <c r="G1652" t="s">
        <v>6828</v>
      </c>
      <c r="H1652" t="s">
        <v>6829</v>
      </c>
      <c r="I1652" t="s">
        <v>4239</v>
      </c>
      <c r="L1652" t="s">
        <v>291</v>
      </c>
      <c r="M1652" t="s">
        <v>6830</v>
      </c>
    </row>
    <row r="1653" spans="1:13" x14ac:dyDescent="0.25">
      <c r="A1653">
        <v>6515574</v>
      </c>
      <c r="B1653" t="s">
        <v>6831</v>
      </c>
      <c r="C1653" t="str">
        <f>"9783030589479"</f>
        <v>9783030589479</v>
      </c>
      <c r="D1653" t="str">
        <f>"9783030589486"</f>
        <v>9783030589486</v>
      </c>
      <c r="E1653" t="s">
        <v>2905</v>
      </c>
      <c r="F1653" s="1">
        <v>44267</v>
      </c>
      <c r="G1653" t="s">
        <v>6832</v>
      </c>
      <c r="H1653" t="s">
        <v>64</v>
      </c>
      <c r="I1653" t="s">
        <v>6833</v>
      </c>
      <c r="L1653" t="s">
        <v>20</v>
      </c>
      <c r="M1653" t="s">
        <v>6834</v>
      </c>
    </row>
    <row r="1654" spans="1:13" x14ac:dyDescent="0.25">
      <c r="A1654">
        <v>6515583</v>
      </c>
      <c r="B1654" t="s">
        <v>6835</v>
      </c>
      <c r="C1654" t="str">
        <f>"9783030632762"</f>
        <v>9783030632762</v>
      </c>
      <c r="D1654" t="str">
        <f>"9783030632779"</f>
        <v>9783030632779</v>
      </c>
      <c r="E1654" t="s">
        <v>2905</v>
      </c>
      <c r="F1654" s="1">
        <v>44267</v>
      </c>
      <c r="G1654" t="s">
        <v>6836</v>
      </c>
      <c r="H1654" t="s">
        <v>817</v>
      </c>
      <c r="I1654" t="s">
        <v>6837</v>
      </c>
      <c r="J1654">
        <v>615.36</v>
      </c>
      <c r="L1654" t="s">
        <v>20</v>
      </c>
      <c r="M1654" t="s">
        <v>6838</v>
      </c>
    </row>
    <row r="1655" spans="1:13" x14ac:dyDescent="0.25">
      <c r="A1655">
        <v>6515814</v>
      </c>
      <c r="B1655" t="s">
        <v>6839</v>
      </c>
      <c r="C1655" t="str">
        <f>"9783030631345"</f>
        <v>9783030631345</v>
      </c>
      <c r="D1655" t="str">
        <f>"9783030631352"</f>
        <v>9783030631352</v>
      </c>
      <c r="E1655" t="s">
        <v>2905</v>
      </c>
      <c r="F1655" s="1">
        <v>44267</v>
      </c>
      <c r="G1655" t="s">
        <v>6840</v>
      </c>
      <c r="H1655" t="s">
        <v>5792</v>
      </c>
      <c r="I1655" t="s">
        <v>6841</v>
      </c>
      <c r="L1655" t="s">
        <v>20</v>
      </c>
      <c r="M1655" t="s">
        <v>6842</v>
      </c>
    </row>
    <row r="1656" spans="1:13" x14ac:dyDescent="0.25">
      <c r="A1656">
        <v>6516155</v>
      </c>
      <c r="B1656" t="s">
        <v>6843</v>
      </c>
      <c r="C1656" t="str">
        <f>"9783658328856"</f>
        <v>9783658328856</v>
      </c>
      <c r="D1656" t="str">
        <f>"9783658328863"</f>
        <v>9783658328863</v>
      </c>
      <c r="E1656" t="s">
        <v>4472</v>
      </c>
      <c r="F1656" s="1">
        <v>44267</v>
      </c>
      <c r="G1656" t="s">
        <v>6844</v>
      </c>
      <c r="H1656" t="s">
        <v>1753</v>
      </c>
      <c r="I1656" t="s">
        <v>4899</v>
      </c>
      <c r="L1656" t="s">
        <v>291</v>
      </c>
      <c r="M1656" t="s">
        <v>6845</v>
      </c>
    </row>
    <row r="1657" spans="1:13" x14ac:dyDescent="0.25">
      <c r="A1657">
        <v>6520824</v>
      </c>
      <c r="B1657" t="s">
        <v>6846</v>
      </c>
      <c r="C1657" t="str">
        <f>"9783030723071"</f>
        <v>9783030723071</v>
      </c>
      <c r="D1657" t="str">
        <f>"9783030723088"</f>
        <v>9783030723088</v>
      </c>
      <c r="E1657" t="s">
        <v>2905</v>
      </c>
      <c r="F1657" s="1">
        <v>44271</v>
      </c>
      <c r="G1657" t="s">
        <v>6847</v>
      </c>
      <c r="H1657" t="s">
        <v>4180</v>
      </c>
      <c r="I1657" t="s">
        <v>4181</v>
      </c>
      <c r="L1657" t="s">
        <v>20</v>
      </c>
      <c r="M1657" t="s">
        <v>6848</v>
      </c>
    </row>
    <row r="1658" spans="1:13" x14ac:dyDescent="0.25">
      <c r="A1658">
        <v>6522084</v>
      </c>
      <c r="B1658" t="s">
        <v>6849</v>
      </c>
      <c r="C1658" t="str">
        <f>"9783030567941"</f>
        <v>9783030567941</v>
      </c>
      <c r="D1658" t="str">
        <f>"9783030567958"</f>
        <v>9783030567958</v>
      </c>
      <c r="E1658" t="s">
        <v>2905</v>
      </c>
      <c r="F1658" s="1">
        <v>44273</v>
      </c>
      <c r="G1658" t="s">
        <v>6850</v>
      </c>
      <c r="H1658" t="s">
        <v>266</v>
      </c>
      <c r="I1658" t="s">
        <v>6851</v>
      </c>
      <c r="L1658" t="s">
        <v>20</v>
      </c>
      <c r="M1658" t="s">
        <v>6852</v>
      </c>
    </row>
    <row r="1659" spans="1:13" x14ac:dyDescent="0.25">
      <c r="A1659">
        <v>6522091</v>
      </c>
      <c r="B1659" t="s">
        <v>6853</v>
      </c>
      <c r="C1659" t="str">
        <f>"9783030699772"</f>
        <v>9783030699772</v>
      </c>
      <c r="D1659" t="str">
        <f>"9783030699789"</f>
        <v>9783030699789</v>
      </c>
      <c r="E1659" t="s">
        <v>2905</v>
      </c>
      <c r="F1659" s="1">
        <v>44273</v>
      </c>
      <c r="G1659" t="s">
        <v>6854</v>
      </c>
      <c r="H1659" t="s">
        <v>4180</v>
      </c>
      <c r="I1659" t="s">
        <v>4181</v>
      </c>
      <c r="L1659" t="s">
        <v>20</v>
      </c>
      <c r="M1659" t="s">
        <v>6855</v>
      </c>
    </row>
    <row r="1660" spans="1:13" x14ac:dyDescent="0.25">
      <c r="A1660">
        <v>6522108</v>
      </c>
      <c r="B1660" t="s">
        <v>6856</v>
      </c>
      <c r="C1660" t="str">
        <f>"9781800640726"</f>
        <v>9781800640726</v>
      </c>
      <c r="D1660" t="str">
        <f>"9781800640733"</f>
        <v>9781800640733</v>
      </c>
      <c r="E1660" t="s">
        <v>2270</v>
      </c>
      <c r="F1660" s="1">
        <v>44227</v>
      </c>
      <c r="G1660" t="s">
        <v>6857</v>
      </c>
      <c r="H1660" t="s">
        <v>70</v>
      </c>
      <c r="L1660" t="s">
        <v>20</v>
      </c>
      <c r="M1660" t="s">
        <v>6858</v>
      </c>
    </row>
    <row r="1661" spans="1:13" x14ac:dyDescent="0.25">
      <c r="A1661">
        <v>6522109</v>
      </c>
      <c r="B1661" t="s">
        <v>6859</v>
      </c>
      <c r="C1661" t="str">
        <f>"9781800640603"</f>
        <v>9781800640603</v>
      </c>
      <c r="D1661" t="str">
        <f>"9781800640610"</f>
        <v>9781800640610</v>
      </c>
      <c r="E1661" t="s">
        <v>2270</v>
      </c>
      <c r="F1661" s="1">
        <v>44244</v>
      </c>
      <c r="G1661" t="s">
        <v>6860</v>
      </c>
      <c r="H1661" t="s">
        <v>6861</v>
      </c>
      <c r="L1661" t="s">
        <v>20</v>
      </c>
      <c r="M1661" t="s">
        <v>6862</v>
      </c>
    </row>
    <row r="1662" spans="1:13" x14ac:dyDescent="0.25">
      <c r="A1662">
        <v>6523259</v>
      </c>
      <c r="B1662" t="s">
        <v>6863</v>
      </c>
      <c r="C1662" t="str">
        <f>"9783030720155"</f>
        <v>9783030720155</v>
      </c>
      <c r="D1662" t="str">
        <f>"9783030720162"</f>
        <v>9783030720162</v>
      </c>
      <c r="E1662" t="s">
        <v>2905</v>
      </c>
      <c r="F1662" s="1">
        <v>44275</v>
      </c>
      <c r="G1662" t="s">
        <v>6864</v>
      </c>
      <c r="H1662" t="s">
        <v>712</v>
      </c>
      <c r="I1662" t="s">
        <v>4553</v>
      </c>
      <c r="L1662" t="s">
        <v>20</v>
      </c>
      <c r="M1662" t="s">
        <v>6865</v>
      </c>
    </row>
    <row r="1663" spans="1:13" x14ac:dyDescent="0.25">
      <c r="A1663">
        <v>6523263</v>
      </c>
      <c r="B1663" t="s">
        <v>6866</v>
      </c>
      <c r="C1663" t="str">
        <f>"9783030656164"</f>
        <v>9783030656164</v>
      </c>
      <c r="D1663" t="str">
        <f>"9783030656171"</f>
        <v>9783030656171</v>
      </c>
      <c r="E1663" t="s">
        <v>2905</v>
      </c>
      <c r="F1663" s="1">
        <v>44275</v>
      </c>
      <c r="G1663" t="s">
        <v>6867</v>
      </c>
      <c r="H1663" t="s">
        <v>246</v>
      </c>
      <c r="I1663" t="s">
        <v>6868</v>
      </c>
      <c r="L1663" t="s">
        <v>20</v>
      </c>
      <c r="M1663" t="s">
        <v>6869</v>
      </c>
    </row>
    <row r="1664" spans="1:13" x14ac:dyDescent="0.25">
      <c r="A1664">
        <v>6523267</v>
      </c>
      <c r="B1664" t="s">
        <v>6870</v>
      </c>
      <c r="C1664" t="str">
        <f>"9783030677114"</f>
        <v>9783030677114</v>
      </c>
      <c r="D1664" t="str">
        <f>"9783030677121"</f>
        <v>9783030677121</v>
      </c>
      <c r="E1664" t="s">
        <v>2905</v>
      </c>
      <c r="F1664" s="1">
        <v>44275</v>
      </c>
      <c r="G1664" t="s">
        <v>6871</v>
      </c>
      <c r="H1664" t="s">
        <v>64</v>
      </c>
      <c r="I1664" t="s">
        <v>2908</v>
      </c>
      <c r="L1664" t="s">
        <v>20</v>
      </c>
      <c r="M1664" t="s">
        <v>6872</v>
      </c>
    </row>
    <row r="1665" spans="1:13" x14ac:dyDescent="0.25">
      <c r="A1665">
        <v>6523277</v>
      </c>
      <c r="B1665" t="s">
        <v>6873</v>
      </c>
      <c r="C1665" t="str">
        <f>"9783030714994"</f>
        <v>9783030714994</v>
      </c>
      <c r="D1665" t="str">
        <f>"9783030715007"</f>
        <v>9783030715007</v>
      </c>
      <c r="E1665" t="s">
        <v>2905</v>
      </c>
      <c r="F1665" s="1">
        <v>44275</v>
      </c>
      <c r="G1665" t="s">
        <v>6874</v>
      </c>
      <c r="H1665" t="s">
        <v>712</v>
      </c>
      <c r="I1665" t="s">
        <v>4774</v>
      </c>
      <c r="L1665" t="s">
        <v>20</v>
      </c>
      <c r="M1665" t="s">
        <v>6875</v>
      </c>
    </row>
    <row r="1666" spans="1:13" x14ac:dyDescent="0.25">
      <c r="A1666">
        <v>6523281</v>
      </c>
      <c r="B1666" t="s">
        <v>6876</v>
      </c>
      <c r="C1666" t="str">
        <f>"9783658321581"</f>
        <v>9783658321581</v>
      </c>
      <c r="D1666" t="str">
        <f>"9783658321598"</f>
        <v>9783658321598</v>
      </c>
      <c r="E1666" t="s">
        <v>4472</v>
      </c>
      <c r="F1666" s="1">
        <v>44275</v>
      </c>
      <c r="G1666" t="s">
        <v>6877</v>
      </c>
      <c r="H1666" t="s">
        <v>64</v>
      </c>
      <c r="I1666" t="s">
        <v>5286</v>
      </c>
      <c r="L1666" t="s">
        <v>291</v>
      </c>
      <c r="M1666" t="s">
        <v>6878</v>
      </c>
    </row>
    <row r="1667" spans="1:13" x14ac:dyDescent="0.25">
      <c r="A1667">
        <v>6523289</v>
      </c>
      <c r="B1667" t="s">
        <v>6879</v>
      </c>
      <c r="C1667" t="str">
        <f>"9783658314552"</f>
        <v>9783658314552</v>
      </c>
      <c r="D1667" t="str">
        <f>"9783658314569"</f>
        <v>9783658314569</v>
      </c>
      <c r="E1667" t="s">
        <v>4472</v>
      </c>
      <c r="F1667" s="1">
        <v>44275</v>
      </c>
      <c r="G1667" t="s">
        <v>6880</v>
      </c>
      <c r="H1667" t="s">
        <v>1753</v>
      </c>
      <c r="I1667" t="s">
        <v>4569</v>
      </c>
      <c r="L1667" t="s">
        <v>291</v>
      </c>
      <c r="M1667" t="s">
        <v>6881</v>
      </c>
    </row>
    <row r="1668" spans="1:13" x14ac:dyDescent="0.25">
      <c r="A1668">
        <v>6523352</v>
      </c>
      <c r="B1668" t="s">
        <v>6882</v>
      </c>
      <c r="C1668" t="str">
        <f>"9783030447656"</f>
        <v>9783030447656</v>
      </c>
      <c r="D1668" t="str">
        <f>"9783030447663"</f>
        <v>9783030447663</v>
      </c>
      <c r="E1668" t="s">
        <v>2905</v>
      </c>
      <c r="F1668" s="1">
        <v>44173</v>
      </c>
      <c r="G1668" t="s">
        <v>6883</v>
      </c>
      <c r="H1668" t="s">
        <v>266</v>
      </c>
      <c r="I1668" t="s">
        <v>6884</v>
      </c>
      <c r="L1668" t="s">
        <v>20</v>
      </c>
      <c r="M1668" t="s">
        <v>6885</v>
      </c>
    </row>
    <row r="1669" spans="1:13" x14ac:dyDescent="0.25">
      <c r="A1669">
        <v>6523361</v>
      </c>
      <c r="B1669" t="s">
        <v>6886</v>
      </c>
      <c r="C1669" t="str">
        <f>"9783030660727"</f>
        <v>9783030660727</v>
      </c>
      <c r="D1669" t="str">
        <f>"9783030660734"</f>
        <v>9783030660734</v>
      </c>
      <c r="E1669" t="s">
        <v>2905</v>
      </c>
      <c r="F1669" s="1">
        <v>44275</v>
      </c>
      <c r="G1669" t="s">
        <v>6887</v>
      </c>
      <c r="H1669" t="s">
        <v>6888</v>
      </c>
      <c r="I1669" t="s">
        <v>4239</v>
      </c>
      <c r="L1669" t="s">
        <v>20</v>
      </c>
      <c r="M1669" t="s">
        <v>6889</v>
      </c>
    </row>
    <row r="1670" spans="1:13" x14ac:dyDescent="0.25">
      <c r="A1670">
        <v>6523364</v>
      </c>
      <c r="B1670" t="s">
        <v>6890</v>
      </c>
      <c r="C1670" t="str">
        <f>"9783030662615"</f>
        <v>9783030662615</v>
      </c>
      <c r="D1670" t="str">
        <f>"9783030662622"</f>
        <v>9783030662622</v>
      </c>
      <c r="E1670" t="s">
        <v>2905</v>
      </c>
      <c r="F1670" s="1">
        <v>44275</v>
      </c>
      <c r="G1670" t="s">
        <v>6891</v>
      </c>
      <c r="H1670" t="s">
        <v>4180</v>
      </c>
      <c r="I1670" t="s">
        <v>6892</v>
      </c>
      <c r="L1670" t="s">
        <v>20</v>
      </c>
      <c r="M1670" t="s">
        <v>6893</v>
      </c>
    </row>
    <row r="1671" spans="1:13" x14ac:dyDescent="0.25">
      <c r="A1671">
        <v>6523365</v>
      </c>
      <c r="B1671" t="s">
        <v>6894</v>
      </c>
      <c r="C1671" t="str">
        <f>"9783030653545"</f>
        <v>9783030653545</v>
      </c>
      <c r="D1671" t="str">
        <f>"9783030653552"</f>
        <v>9783030653552</v>
      </c>
      <c r="E1671" t="s">
        <v>2905</v>
      </c>
      <c r="F1671" s="1">
        <v>44275</v>
      </c>
      <c r="G1671" t="s">
        <v>6895</v>
      </c>
      <c r="H1671" t="s">
        <v>1624</v>
      </c>
      <c r="I1671" t="s">
        <v>6896</v>
      </c>
      <c r="L1671" t="s">
        <v>20</v>
      </c>
      <c r="M1671" t="s">
        <v>6897</v>
      </c>
    </row>
    <row r="1672" spans="1:13" x14ac:dyDescent="0.25">
      <c r="A1672">
        <v>6523369</v>
      </c>
      <c r="B1672" t="s">
        <v>6898</v>
      </c>
      <c r="C1672" t="str">
        <f>"9789811603433"</f>
        <v>9789811603433</v>
      </c>
      <c r="D1672" t="str">
        <f>"9789811603440"</f>
        <v>9789811603440</v>
      </c>
      <c r="E1672" t="s">
        <v>4099</v>
      </c>
      <c r="F1672" s="1">
        <v>44275</v>
      </c>
      <c r="G1672" t="s">
        <v>6899</v>
      </c>
      <c r="H1672" t="s">
        <v>2569</v>
      </c>
      <c r="I1672" t="s">
        <v>4924</v>
      </c>
      <c r="L1672" t="s">
        <v>20</v>
      </c>
      <c r="M1672" t="s">
        <v>6900</v>
      </c>
    </row>
    <row r="1673" spans="1:13" x14ac:dyDescent="0.25">
      <c r="A1673">
        <v>6523370</v>
      </c>
      <c r="B1673" t="s">
        <v>6901</v>
      </c>
      <c r="C1673" t="str">
        <f>"9783658331382"</f>
        <v>9783658331382</v>
      </c>
      <c r="D1673" t="str">
        <f>"9783658331399"</f>
        <v>9783658331399</v>
      </c>
      <c r="E1673" t="s">
        <v>4472</v>
      </c>
      <c r="F1673" s="1">
        <v>44275</v>
      </c>
      <c r="G1673" t="s">
        <v>6902</v>
      </c>
      <c r="H1673" t="s">
        <v>1753</v>
      </c>
      <c r="I1673" t="s">
        <v>4569</v>
      </c>
      <c r="L1673" t="s">
        <v>20</v>
      </c>
      <c r="M1673" t="s">
        <v>6903</v>
      </c>
    </row>
    <row r="1674" spans="1:13" x14ac:dyDescent="0.25">
      <c r="A1674">
        <v>6523381</v>
      </c>
      <c r="B1674" t="s">
        <v>6904</v>
      </c>
      <c r="C1674" t="str">
        <f>"9789811578649"</f>
        <v>9789811578649</v>
      </c>
      <c r="D1674" t="str">
        <f>"9789811578656"</f>
        <v>9789811578656</v>
      </c>
      <c r="E1674" t="s">
        <v>4099</v>
      </c>
      <c r="F1674" s="1">
        <v>44138</v>
      </c>
      <c r="G1674" t="s">
        <v>6905</v>
      </c>
      <c r="H1674" t="s">
        <v>2978</v>
      </c>
      <c r="I1674" t="s">
        <v>6906</v>
      </c>
      <c r="J1674">
        <v>330.95103</v>
      </c>
      <c r="L1674" t="s">
        <v>20</v>
      </c>
      <c r="M1674" t="s">
        <v>6907</v>
      </c>
    </row>
    <row r="1675" spans="1:13" x14ac:dyDescent="0.25">
      <c r="A1675">
        <v>6523389</v>
      </c>
      <c r="B1675" t="s">
        <v>6908</v>
      </c>
      <c r="C1675" t="str">
        <f>"9783030646226"</f>
        <v>9783030646226</v>
      </c>
      <c r="D1675" t="str">
        <f>"9783030646233"</f>
        <v>9783030646233</v>
      </c>
      <c r="E1675" t="s">
        <v>2905</v>
      </c>
      <c r="F1675" s="1">
        <v>44275</v>
      </c>
      <c r="G1675" t="s">
        <v>6909</v>
      </c>
      <c r="H1675" t="s">
        <v>1056</v>
      </c>
      <c r="I1675" t="s">
        <v>6910</v>
      </c>
      <c r="L1675" t="s">
        <v>20</v>
      </c>
      <c r="M1675" t="s">
        <v>6911</v>
      </c>
    </row>
    <row r="1676" spans="1:13" x14ac:dyDescent="0.25">
      <c r="A1676">
        <v>6523395</v>
      </c>
      <c r="B1676" t="s">
        <v>6912</v>
      </c>
      <c r="C1676" t="str">
        <f>"9783658330385"</f>
        <v>9783658330385</v>
      </c>
      <c r="D1676" t="str">
        <f>"9783658330392"</f>
        <v>9783658330392</v>
      </c>
      <c r="E1676" t="s">
        <v>4472</v>
      </c>
      <c r="F1676" s="1">
        <v>44275</v>
      </c>
      <c r="G1676" t="s">
        <v>6913</v>
      </c>
      <c r="H1676" t="s">
        <v>363</v>
      </c>
      <c r="I1676" t="s">
        <v>4507</v>
      </c>
      <c r="L1676" t="s">
        <v>291</v>
      </c>
      <c r="M1676" t="s">
        <v>6914</v>
      </c>
    </row>
    <row r="1677" spans="1:13" x14ac:dyDescent="0.25">
      <c r="A1677">
        <v>6523396</v>
      </c>
      <c r="B1677" t="s">
        <v>6915</v>
      </c>
      <c r="C1677" t="str">
        <f>"9783658332129"</f>
        <v>9783658332129</v>
      </c>
      <c r="D1677" t="str">
        <f>"9783658332136"</f>
        <v>9783658332136</v>
      </c>
      <c r="E1677" t="s">
        <v>4472</v>
      </c>
      <c r="F1677" s="1">
        <v>44275</v>
      </c>
      <c r="G1677" t="s">
        <v>6916</v>
      </c>
      <c r="H1677" t="s">
        <v>30</v>
      </c>
      <c r="I1677" t="s">
        <v>6917</v>
      </c>
      <c r="L1677" t="s">
        <v>291</v>
      </c>
      <c r="M1677" t="s">
        <v>6918</v>
      </c>
    </row>
    <row r="1678" spans="1:13" x14ac:dyDescent="0.25">
      <c r="A1678">
        <v>6523399</v>
      </c>
      <c r="B1678" t="s">
        <v>6919</v>
      </c>
      <c r="C1678" t="str">
        <f>"9783030685966"</f>
        <v>9783030685966</v>
      </c>
      <c r="D1678" t="str">
        <f>"9783030685973"</f>
        <v>9783030685973</v>
      </c>
      <c r="E1678" t="s">
        <v>2905</v>
      </c>
      <c r="F1678" s="1">
        <v>44275</v>
      </c>
      <c r="G1678" t="s">
        <v>6920</v>
      </c>
      <c r="H1678" t="s">
        <v>4915</v>
      </c>
      <c r="I1678" t="s">
        <v>6921</v>
      </c>
      <c r="L1678" t="s">
        <v>20</v>
      </c>
      <c r="M1678" t="s">
        <v>6922</v>
      </c>
    </row>
    <row r="1679" spans="1:13" x14ac:dyDescent="0.25">
      <c r="A1679">
        <v>6524970</v>
      </c>
      <c r="B1679" t="s">
        <v>6923</v>
      </c>
      <c r="C1679" t="str">
        <f>"9783030719944"</f>
        <v>9783030719944</v>
      </c>
      <c r="D1679" t="str">
        <f>"9783030719951"</f>
        <v>9783030719951</v>
      </c>
      <c r="E1679" t="s">
        <v>2905</v>
      </c>
      <c r="F1679" s="1">
        <v>44278</v>
      </c>
      <c r="G1679" t="s">
        <v>6924</v>
      </c>
      <c r="H1679" t="s">
        <v>1178</v>
      </c>
      <c r="I1679" t="s">
        <v>6925</v>
      </c>
      <c r="L1679" t="s">
        <v>20</v>
      </c>
      <c r="M1679" t="s">
        <v>6926</v>
      </c>
    </row>
    <row r="1680" spans="1:13" x14ac:dyDescent="0.25">
      <c r="A1680">
        <v>6524978</v>
      </c>
      <c r="B1680" t="s">
        <v>6927</v>
      </c>
      <c r="C1680" t="str">
        <f>"9783030720124"</f>
        <v>9783030720124</v>
      </c>
      <c r="D1680" t="str">
        <f>"9783030720131"</f>
        <v>9783030720131</v>
      </c>
      <c r="E1680" t="s">
        <v>2905</v>
      </c>
      <c r="F1680" s="1">
        <v>44278</v>
      </c>
      <c r="G1680" t="s">
        <v>6864</v>
      </c>
      <c r="H1680" t="s">
        <v>712</v>
      </c>
      <c r="I1680" t="s">
        <v>4553</v>
      </c>
      <c r="L1680" t="s">
        <v>20</v>
      </c>
      <c r="M1680" t="s">
        <v>6928</v>
      </c>
    </row>
    <row r="1681" spans="1:13" x14ac:dyDescent="0.25">
      <c r="A1681">
        <v>6524979</v>
      </c>
      <c r="B1681" t="s">
        <v>6929</v>
      </c>
      <c r="C1681" t="str">
        <f>"9783030617271"</f>
        <v>9783030617271</v>
      </c>
      <c r="D1681" t="str">
        <f>"9783030617288"</f>
        <v>9783030617288</v>
      </c>
      <c r="E1681" t="s">
        <v>2905</v>
      </c>
      <c r="F1681" s="1">
        <v>44278</v>
      </c>
      <c r="G1681" t="s">
        <v>6930</v>
      </c>
      <c r="H1681" t="s">
        <v>16</v>
      </c>
      <c r="I1681" t="s">
        <v>4580</v>
      </c>
      <c r="L1681" t="s">
        <v>20</v>
      </c>
      <c r="M1681" t="s">
        <v>6931</v>
      </c>
    </row>
    <row r="1682" spans="1:13" x14ac:dyDescent="0.25">
      <c r="A1682">
        <v>6524996</v>
      </c>
      <c r="B1682" t="s">
        <v>6932</v>
      </c>
      <c r="C1682" t="str">
        <f>"9783030720186"</f>
        <v>9783030720186</v>
      </c>
      <c r="D1682" t="str">
        <f>"9783030720193"</f>
        <v>9783030720193</v>
      </c>
      <c r="E1682" t="s">
        <v>2905</v>
      </c>
      <c r="F1682" s="1">
        <v>44278</v>
      </c>
      <c r="G1682" t="s">
        <v>6933</v>
      </c>
      <c r="H1682" t="s">
        <v>712</v>
      </c>
      <c r="I1682" t="s">
        <v>5038</v>
      </c>
      <c r="L1682" t="s">
        <v>20</v>
      </c>
      <c r="M1682" t="s">
        <v>6934</v>
      </c>
    </row>
    <row r="1683" spans="1:13" x14ac:dyDescent="0.25">
      <c r="A1683">
        <v>6525003</v>
      </c>
      <c r="B1683" t="s">
        <v>6935</v>
      </c>
      <c r="C1683" t="str">
        <f>"9783030323448"</f>
        <v>9783030323448</v>
      </c>
      <c r="D1683" t="str">
        <f>"9783030323455"</f>
        <v>9783030323455</v>
      </c>
      <c r="E1683" t="s">
        <v>2905</v>
      </c>
      <c r="F1683" s="1">
        <v>44012</v>
      </c>
      <c r="G1683" t="s">
        <v>6936</v>
      </c>
      <c r="H1683" t="s">
        <v>6937</v>
      </c>
      <c r="I1683" t="s">
        <v>5778</v>
      </c>
      <c r="L1683" t="s">
        <v>20</v>
      </c>
      <c r="M1683" t="s">
        <v>6938</v>
      </c>
    </row>
    <row r="1684" spans="1:13" x14ac:dyDescent="0.25">
      <c r="A1684">
        <v>6525080</v>
      </c>
      <c r="B1684" t="s">
        <v>6939</v>
      </c>
      <c r="C1684" t="str">
        <f>"9783030616007"</f>
        <v>9783030616007</v>
      </c>
      <c r="D1684" t="str">
        <f>"9783030616014"</f>
        <v>9783030616014</v>
      </c>
      <c r="E1684" t="s">
        <v>2905</v>
      </c>
      <c r="F1684" s="1">
        <v>44278</v>
      </c>
      <c r="G1684" t="s">
        <v>6940</v>
      </c>
      <c r="H1684" t="s">
        <v>6941</v>
      </c>
      <c r="I1684" t="s">
        <v>4770</v>
      </c>
      <c r="J1684">
        <v>6.3842999999999996</v>
      </c>
      <c r="L1684" t="s">
        <v>20</v>
      </c>
      <c r="M1684" t="s">
        <v>6942</v>
      </c>
    </row>
    <row r="1685" spans="1:13" x14ac:dyDescent="0.25">
      <c r="A1685">
        <v>6525474</v>
      </c>
      <c r="B1685" t="s">
        <v>6943</v>
      </c>
      <c r="C1685" t="str">
        <f>"9783030686697"</f>
        <v>9783030686697</v>
      </c>
      <c r="D1685" t="str">
        <f>"9783030686703"</f>
        <v>9783030686703</v>
      </c>
      <c r="E1685" t="s">
        <v>2905</v>
      </c>
      <c r="F1685" s="1">
        <v>44279</v>
      </c>
      <c r="G1685" t="s">
        <v>6944</v>
      </c>
      <c r="H1685" t="s">
        <v>2603</v>
      </c>
      <c r="I1685" t="s">
        <v>6414</v>
      </c>
      <c r="L1685" t="s">
        <v>20</v>
      </c>
      <c r="M1685" t="s">
        <v>6945</v>
      </c>
    </row>
    <row r="1686" spans="1:13" x14ac:dyDescent="0.25">
      <c r="A1686">
        <v>6527531</v>
      </c>
      <c r="B1686" t="s">
        <v>6946</v>
      </c>
      <c r="C1686" t="str">
        <f>"9783030673376"</f>
        <v>9783030673376</v>
      </c>
      <c r="D1686" t="str">
        <f>"9783030673383"</f>
        <v>9783030673383</v>
      </c>
      <c r="E1686" t="s">
        <v>2905</v>
      </c>
      <c r="F1686" s="1">
        <v>44281</v>
      </c>
      <c r="G1686" t="s">
        <v>6947</v>
      </c>
      <c r="H1686" t="s">
        <v>1753</v>
      </c>
      <c r="I1686" t="s">
        <v>6948</v>
      </c>
      <c r="J1686">
        <v>658.81200000000001</v>
      </c>
      <c r="L1686" t="s">
        <v>20</v>
      </c>
      <c r="M1686" t="s">
        <v>6949</v>
      </c>
    </row>
    <row r="1687" spans="1:13" x14ac:dyDescent="0.25">
      <c r="A1687">
        <v>6527603</v>
      </c>
      <c r="B1687" t="s">
        <v>6950</v>
      </c>
      <c r="C1687" t="str">
        <f>"9781618115966"</f>
        <v>9781618115966</v>
      </c>
      <c r="D1687" t="str">
        <f>"9781618119087"</f>
        <v>9781618119087</v>
      </c>
      <c r="E1687" t="s">
        <v>2224</v>
      </c>
      <c r="F1687" s="1">
        <v>43418</v>
      </c>
      <c r="G1687" t="s">
        <v>6951</v>
      </c>
      <c r="H1687" t="s">
        <v>743</v>
      </c>
      <c r="L1687" t="s">
        <v>20</v>
      </c>
      <c r="M1687" t="s">
        <v>6952</v>
      </c>
    </row>
    <row r="1688" spans="1:13" x14ac:dyDescent="0.25">
      <c r="A1688">
        <v>6527604</v>
      </c>
      <c r="B1688" t="s">
        <v>6953</v>
      </c>
      <c r="C1688" t="str">
        <f>"9781618116161"</f>
        <v>9781618116161</v>
      </c>
      <c r="D1688" t="str">
        <f>"9781618119070"</f>
        <v>9781618119070</v>
      </c>
      <c r="E1688" t="s">
        <v>2224</v>
      </c>
      <c r="F1688" s="1">
        <v>43413</v>
      </c>
      <c r="G1688" t="s">
        <v>6954</v>
      </c>
      <c r="H1688" t="s">
        <v>64</v>
      </c>
      <c r="J1688">
        <v>362.88082000000003</v>
      </c>
      <c r="L1688" t="s">
        <v>20</v>
      </c>
      <c r="M1688" t="s">
        <v>6955</v>
      </c>
    </row>
    <row r="1689" spans="1:13" x14ac:dyDescent="0.25">
      <c r="A1689">
        <v>6527605</v>
      </c>
      <c r="B1689" t="s">
        <v>6956</v>
      </c>
      <c r="C1689" t="str">
        <f>"9781618112347"</f>
        <v>9781618112347</v>
      </c>
      <c r="D1689" t="str">
        <f>"9781618116840"</f>
        <v>9781618116840</v>
      </c>
      <c r="E1689" t="s">
        <v>2224</v>
      </c>
      <c r="F1689" s="1">
        <v>41183</v>
      </c>
      <c r="G1689" t="s">
        <v>6957</v>
      </c>
      <c r="H1689" t="s">
        <v>139</v>
      </c>
      <c r="J1689">
        <v>940.5318092</v>
      </c>
      <c r="L1689" t="s">
        <v>20</v>
      </c>
      <c r="M1689" t="s">
        <v>6958</v>
      </c>
    </row>
    <row r="1690" spans="1:13" x14ac:dyDescent="0.25">
      <c r="A1690">
        <v>6528168</v>
      </c>
      <c r="B1690" t="s">
        <v>6959</v>
      </c>
      <c r="C1690" t="str">
        <f>"9783662627075"</f>
        <v>9783662627075</v>
      </c>
      <c r="D1690" t="str">
        <f>"9783662627082"</f>
        <v>9783662627082</v>
      </c>
      <c r="E1690" t="s">
        <v>4540</v>
      </c>
      <c r="F1690" s="1">
        <v>44286</v>
      </c>
      <c r="G1690" t="s">
        <v>6960</v>
      </c>
      <c r="H1690" t="s">
        <v>266</v>
      </c>
      <c r="I1690" t="s">
        <v>5440</v>
      </c>
      <c r="L1690" t="s">
        <v>291</v>
      </c>
      <c r="M1690" t="s">
        <v>6961</v>
      </c>
    </row>
    <row r="1691" spans="1:13" x14ac:dyDescent="0.25">
      <c r="A1691">
        <v>6531639</v>
      </c>
      <c r="B1691" t="s">
        <v>6962</v>
      </c>
      <c r="C1691" t="str">
        <f>"9783658332457"</f>
        <v>9783658332457</v>
      </c>
      <c r="D1691" t="str">
        <f>"9783658332464"</f>
        <v>9783658332464</v>
      </c>
      <c r="E1691" t="s">
        <v>4472</v>
      </c>
      <c r="F1691" s="1">
        <v>44286</v>
      </c>
      <c r="G1691" t="s">
        <v>6963</v>
      </c>
      <c r="H1691" t="s">
        <v>1753</v>
      </c>
      <c r="I1691" t="s">
        <v>3731</v>
      </c>
      <c r="L1691" t="s">
        <v>20</v>
      </c>
      <c r="M1691" t="s">
        <v>6964</v>
      </c>
    </row>
    <row r="1692" spans="1:13" x14ac:dyDescent="0.25">
      <c r="A1692">
        <v>6531653</v>
      </c>
      <c r="B1692" t="s">
        <v>6965</v>
      </c>
      <c r="C1692" t="str">
        <f>"9783030645687"</f>
        <v>9783030645687</v>
      </c>
      <c r="D1692" t="str">
        <f>"9783030645694"</f>
        <v>9783030645694</v>
      </c>
      <c r="E1692" t="s">
        <v>2905</v>
      </c>
      <c r="F1692" s="1">
        <v>44285</v>
      </c>
      <c r="G1692" t="s">
        <v>6966</v>
      </c>
      <c r="H1692" t="s">
        <v>64</v>
      </c>
      <c r="I1692" t="s">
        <v>4102</v>
      </c>
      <c r="L1692" t="s">
        <v>20</v>
      </c>
      <c r="M1692" t="s">
        <v>6967</v>
      </c>
    </row>
    <row r="1693" spans="1:13" x14ac:dyDescent="0.25">
      <c r="A1693">
        <v>6531665</v>
      </c>
      <c r="B1693" t="s">
        <v>6968</v>
      </c>
      <c r="C1693" t="str">
        <f>"9789813347120"</f>
        <v>9789813347120</v>
      </c>
      <c r="D1693" t="str">
        <f>"9789813347137"</f>
        <v>9789813347137</v>
      </c>
      <c r="E1693" t="s">
        <v>4099</v>
      </c>
      <c r="F1693" s="1">
        <v>44285</v>
      </c>
      <c r="G1693" t="s">
        <v>6969</v>
      </c>
      <c r="H1693" t="s">
        <v>1753</v>
      </c>
      <c r="I1693" t="s">
        <v>4569</v>
      </c>
      <c r="L1693" t="s">
        <v>20</v>
      </c>
      <c r="M1693" t="s">
        <v>6970</v>
      </c>
    </row>
    <row r="1694" spans="1:13" x14ac:dyDescent="0.25">
      <c r="A1694">
        <v>6531681</v>
      </c>
      <c r="B1694" t="s">
        <v>6971</v>
      </c>
      <c r="C1694" t="str">
        <f>"9783030564162"</f>
        <v>9783030564162</v>
      </c>
      <c r="D1694" t="str">
        <f>"9783030564179"</f>
        <v>9783030564179</v>
      </c>
      <c r="E1694" t="s">
        <v>2905</v>
      </c>
      <c r="F1694" s="1">
        <v>44285</v>
      </c>
      <c r="G1694" t="s">
        <v>6972</v>
      </c>
      <c r="H1694" t="s">
        <v>2597</v>
      </c>
      <c r="I1694" t="s">
        <v>5389</v>
      </c>
      <c r="L1694" t="s">
        <v>20</v>
      </c>
      <c r="M1694" t="s">
        <v>6973</v>
      </c>
    </row>
    <row r="1695" spans="1:13" x14ac:dyDescent="0.25">
      <c r="A1695">
        <v>6531698</v>
      </c>
      <c r="B1695" t="s">
        <v>6974</v>
      </c>
      <c r="C1695" t="str">
        <f>"9783030636135"</f>
        <v>9783030636135</v>
      </c>
      <c r="D1695" t="str">
        <f>"9783030636142"</f>
        <v>9783030636142</v>
      </c>
      <c r="E1695" t="s">
        <v>2905</v>
      </c>
      <c r="F1695" s="1">
        <v>44282</v>
      </c>
      <c r="G1695" t="s">
        <v>6975</v>
      </c>
      <c r="H1695" t="s">
        <v>1753</v>
      </c>
      <c r="I1695" t="s">
        <v>6976</v>
      </c>
      <c r="L1695" t="s">
        <v>20</v>
      </c>
      <c r="M1695" t="s">
        <v>6977</v>
      </c>
    </row>
    <row r="1696" spans="1:13" x14ac:dyDescent="0.25">
      <c r="A1696">
        <v>6531708</v>
      </c>
      <c r="B1696" t="s">
        <v>6978</v>
      </c>
      <c r="C1696" t="str">
        <f>"9783030671297"</f>
        <v>9783030671297</v>
      </c>
      <c r="D1696" t="str">
        <f>"9783030671303"</f>
        <v>9783030671303</v>
      </c>
      <c r="E1696" t="s">
        <v>2905</v>
      </c>
      <c r="F1696" s="1">
        <v>44286</v>
      </c>
      <c r="G1696" t="s">
        <v>6979</v>
      </c>
      <c r="H1696" t="s">
        <v>64</v>
      </c>
      <c r="I1696" t="s">
        <v>6980</v>
      </c>
      <c r="L1696" t="s">
        <v>20</v>
      </c>
      <c r="M1696" t="s">
        <v>6981</v>
      </c>
    </row>
    <row r="1697" spans="1:13" x14ac:dyDescent="0.25">
      <c r="A1697">
        <v>6531730</v>
      </c>
      <c r="B1697" t="s">
        <v>6982</v>
      </c>
      <c r="C1697" t="str">
        <f>"9783030514051"</f>
        <v>9783030514051</v>
      </c>
      <c r="D1697" t="str">
        <f>"9783030514068"</f>
        <v>9783030514068</v>
      </c>
      <c r="E1697" t="s">
        <v>2905</v>
      </c>
      <c r="F1697" s="1">
        <v>44286</v>
      </c>
      <c r="G1697" t="s">
        <v>6983</v>
      </c>
      <c r="H1697" t="s">
        <v>1753</v>
      </c>
      <c r="I1697" t="s">
        <v>4609</v>
      </c>
      <c r="L1697" t="s">
        <v>20</v>
      </c>
      <c r="M1697" t="s">
        <v>6984</v>
      </c>
    </row>
    <row r="1698" spans="1:13" x14ac:dyDescent="0.25">
      <c r="A1698">
        <v>6531807</v>
      </c>
      <c r="B1698" t="s">
        <v>6985</v>
      </c>
      <c r="C1698" t="str">
        <f>"9783030648565"</f>
        <v>9783030648565</v>
      </c>
      <c r="D1698" t="str">
        <f>"9783030648572"</f>
        <v>9783030648572</v>
      </c>
      <c r="E1698" t="s">
        <v>2905</v>
      </c>
      <c r="F1698" s="1">
        <v>44285</v>
      </c>
      <c r="G1698" t="s">
        <v>6986</v>
      </c>
      <c r="H1698" t="s">
        <v>30</v>
      </c>
      <c r="I1698" t="s">
        <v>4632</v>
      </c>
      <c r="L1698" t="s">
        <v>20</v>
      </c>
      <c r="M1698" t="s">
        <v>6987</v>
      </c>
    </row>
    <row r="1699" spans="1:13" x14ac:dyDescent="0.25">
      <c r="A1699">
        <v>6531811</v>
      </c>
      <c r="B1699" t="s">
        <v>6988</v>
      </c>
      <c r="C1699" t="str">
        <f>"9783658330026"</f>
        <v>9783658330026</v>
      </c>
      <c r="D1699" t="str">
        <f>"9783658330033"</f>
        <v>9783658330033</v>
      </c>
      <c r="E1699" t="s">
        <v>4472</v>
      </c>
      <c r="F1699" s="1">
        <v>44281</v>
      </c>
      <c r="G1699" t="s">
        <v>6989</v>
      </c>
      <c r="H1699" t="s">
        <v>1178</v>
      </c>
      <c r="I1699" t="s">
        <v>4478</v>
      </c>
      <c r="L1699" t="s">
        <v>291</v>
      </c>
      <c r="M1699" t="s">
        <v>6990</v>
      </c>
    </row>
    <row r="1700" spans="1:13" x14ac:dyDescent="0.25">
      <c r="A1700">
        <v>6531830</v>
      </c>
      <c r="B1700" t="s">
        <v>6991</v>
      </c>
      <c r="C1700" t="str">
        <f>"9783030666576"</f>
        <v>9783030666576</v>
      </c>
      <c r="D1700" t="str">
        <f>"9783030666583"</f>
        <v>9783030666583</v>
      </c>
      <c r="E1700" t="s">
        <v>2905</v>
      </c>
      <c r="F1700" s="1">
        <v>44285</v>
      </c>
      <c r="G1700" t="s">
        <v>6992</v>
      </c>
      <c r="H1700" t="s">
        <v>146</v>
      </c>
      <c r="I1700" t="s">
        <v>6993</v>
      </c>
      <c r="J1700">
        <v>320.94920903399998</v>
      </c>
      <c r="L1700" t="s">
        <v>20</v>
      </c>
      <c r="M1700" t="s">
        <v>6994</v>
      </c>
    </row>
    <row r="1701" spans="1:13" x14ac:dyDescent="0.25">
      <c r="A1701">
        <v>6531842</v>
      </c>
      <c r="B1701" t="s">
        <v>6995</v>
      </c>
      <c r="C1701" t="str">
        <f>"9783030565022"</f>
        <v>9783030565022</v>
      </c>
      <c r="D1701" t="str">
        <f>"9783030565046"</f>
        <v>9783030565046</v>
      </c>
      <c r="E1701" t="s">
        <v>2905</v>
      </c>
      <c r="F1701" s="1">
        <v>44276</v>
      </c>
      <c r="G1701" t="s">
        <v>6996</v>
      </c>
      <c r="H1701" t="s">
        <v>5236</v>
      </c>
      <c r="I1701" t="s">
        <v>5814</v>
      </c>
      <c r="L1701" t="s">
        <v>20</v>
      </c>
      <c r="M1701" t="s">
        <v>6997</v>
      </c>
    </row>
    <row r="1702" spans="1:13" x14ac:dyDescent="0.25">
      <c r="A1702">
        <v>6531848</v>
      </c>
      <c r="B1702" t="s">
        <v>6998</v>
      </c>
      <c r="C1702" t="str">
        <f>"9783030717773"</f>
        <v>9783030717773</v>
      </c>
      <c r="D1702" t="str">
        <f>"9783030717780"</f>
        <v>9783030717780</v>
      </c>
      <c r="E1702" t="s">
        <v>2905</v>
      </c>
      <c r="F1702" s="1">
        <v>44282</v>
      </c>
      <c r="G1702" t="s">
        <v>6999</v>
      </c>
      <c r="H1702" t="s">
        <v>363</v>
      </c>
      <c r="I1702" t="s">
        <v>6501</v>
      </c>
      <c r="L1702" t="s">
        <v>20</v>
      </c>
      <c r="M1702" t="s">
        <v>7000</v>
      </c>
    </row>
    <row r="1703" spans="1:13" x14ac:dyDescent="0.25">
      <c r="A1703">
        <v>6532618</v>
      </c>
      <c r="B1703" t="s">
        <v>7001</v>
      </c>
      <c r="C1703" t="str">
        <f>"9780472070961"</f>
        <v>9780472070961</v>
      </c>
      <c r="D1703" t="str">
        <f>"9780472901203"</f>
        <v>9780472901203</v>
      </c>
      <c r="E1703" t="s">
        <v>6708</v>
      </c>
      <c r="F1703" s="1">
        <v>40360</v>
      </c>
      <c r="G1703" t="s">
        <v>7002</v>
      </c>
      <c r="H1703" t="s">
        <v>246</v>
      </c>
      <c r="I1703" t="s">
        <v>7003</v>
      </c>
      <c r="J1703">
        <v>780</v>
      </c>
      <c r="K1703" t="s">
        <v>7004</v>
      </c>
      <c r="L1703" t="s">
        <v>20</v>
      </c>
      <c r="M1703" t="s">
        <v>7005</v>
      </c>
    </row>
    <row r="1704" spans="1:13" x14ac:dyDescent="0.25">
      <c r="A1704">
        <v>6533233</v>
      </c>
      <c r="B1704" t="s">
        <v>7006</v>
      </c>
      <c r="C1704" t="str">
        <f>"9780472072958"</f>
        <v>9780472072958</v>
      </c>
      <c r="D1704" t="str">
        <f>"9780472900633"</f>
        <v>9780472900633</v>
      </c>
      <c r="E1704" t="s">
        <v>6708</v>
      </c>
      <c r="F1704" s="1">
        <v>42429</v>
      </c>
      <c r="G1704" t="s">
        <v>7007</v>
      </c>
      <c r="H1704" t="s">
        <v>70</v>
      </c>
      <c r="I1704" t="s">
        <v>7008</v>
      </c>
      <c r="J1704" t="s">
        <v>7009</v>
      </c>
      <c r="K1704" t="s">
        <v>7010</v>
      </c>
      <c r="L1704" t="s">
        <v>20</v>
      </c>
      <c r="M1704" t="s">
        <v>7011</v>
      </c>
    </row>
    <row r="1705" spans="1:13" x14ac:dyDescent="0.25">
      <c r="A1705">
        <v>6533234</v>
      </c>
      <c r="B1705" t="s">
        <v>7012</v>
      </c>
      <c r="C1705" t="str">
        <f>"9780472131006"</f>
        <v>9780472131006</v>
      </c>
      <c r="D1705" t="str">
        <f>"9780472901166"</f>
        <v>9780472901166</v>
      </c>
      <c r="E1705" t="s">
        <v>6708</v>
      </c>
      <c r="F1705" s="1">
        <v>43403</v>
      </c>
      <c r="G1705" t="s">
        <v>7013</v>
      </c>
      <c r="H1705" t="s">
        <v>139</v>
      </c>
      <c r="I1705" t="s">
        <v>7014</v>
      </c>
      <c r="J1705" t="s">
        <v>7015</v>
      </c>
      <c r="L1705" t="s">
        <v>20</v>
      </c>
      <c r="M1705" t="s">
        <v>7016</v>
      </c>
    </row>
    <row r="1706" spans="1:13" x14ac:dyDescent="0.25">
      <c r="A1706">
        <v>6533235</v>
      </c>
      <c r="B1706" t="s">
        <v>7017</v>
      </c>
      <c r="C1706" t="str">
        <f>"9780472119714"</f>
        <v>9780472119714</v>
      </c>
      <c r="D1706" t="str">
        <f>"9780472902552"</f>
        <v>9780472902552</v>
      </c>
      <c r="E1706" t="s">
        <v>6708</v>
      </c>
      <c r="F1706" s="1">
        <v>42368</v>
      </c>
      <c r="G1706" t="s">
        <v>7018</v>
      </c>
      <c r="H1706" t="s">
        <v>64</v>
      </c>
      <c r="I1706" t="s">
        <v>7019</v>
      </c>
      <c r="J1706" t="s">
        <v>7020</v>
      </c>
      <c r="L1706" t="s">
        <v>20</v>
      </c>
      <c r="M1706" t="s">
        <v>7021</v>
      </c>
    </row>
    <row r="1707" spans="1:13" x14ac:dyDescent="0.25">
      <c r="A1707">
        <v>6533236</v>
      </c>
      <c r="B1707" t="s">
        <v>7022</v>
      </c>
      <c r="C1707" t="str">
        <f>"9780472072941"</f>
        <v>9780472072941</v>
      </c>
      <c r="D1707" t="str">
        <f>"9780472900657"</f>
        <v>9780472900657</v>
      </c>
      <c r="E1707" t="s">
        <v>6708</v>
      </c>
      <c r="F1707" s="1">
        <v>42429</v>
      </c>
      <c r="G1707" t="s">
        <v>7023</v>
      </c>
      <c r="H1707" t="s">
        <v>7024</v>
      </c>
      <c r="I1707" t="s">
        <v>7025</v>
      </c>
      <c r="J1707">
        <v>1.9</v>
      </c>
      <c r="K1707" t="s">
        <v>7026</v>
      </c>
      <c r="L1707" t="s">
        <v>20</v>
      </c>
      <c r="M1707" t="s">
        <v>7027</v>
      </c>
    </row>
    <row r="1708" spans="1:13" x14ac:dyDescent="0.25">
      <c r="A1708">
        <v>6533238</v>
      </c>
      <c r="B1708" t="s">
        <v>7028</v>
      </c>
      <c r="C1708" t="str">
        <f>"9780472130122"</f>
        <v>9780472130122</v>
      </c>
      <c r="D1708" t="str">
        <f>"9780472902576"</f>
        <v>9780472902576</v>
      </c>
      <c r="E1708" t="s">
        <v>6708</v>
      </c>
      <c r="F1708" s="1">
        <v>42643</v>
      </c>
      <c r="G1708" t="s">
        <v>7029</v>
      </c>
      <c r="H1708" t="s">
        <v>743</v>
      </c>
      <c r="I1708" t="s">
        <v>7030</v>
      </c>
      <c r="J1708" t="s">
        <v>7031</v>
      </c>
      <c r="L1708" t="s">
        <v>20</v>
      </c>
      <c r="M1708" t="s">
        <v>7032</v>
      </c>
    </row>
    <row r="1709" spans="1:13" x14ac:dyDescent="0.25">
      <c r="A1709">
        <v>6533239</v>
      </c>
      <c r="B1709" t="s">
        <v>7033</v>
      </c>
      <c r="C1709" t="str">
        <f>"9780472130061"</f>
        <v>9780472130061</v>
      </c>
      <c r="D1709" t="str">
        <f>"9780472902521"</f>
        <v>9780472902521</v>
      </c>
      <c r="E1709" t="s">
        <v>6708</v>
      </c>
      <c r="F1709" s="1">
        <v>42643</v>
      </c>
      <c r="G1709" t="s">
        <v>7034</v>
      </c>
      <c r="H1709" t="s">
        <v>146</v>
      </c>
      <c r="I1709" t="s">
        <v>7035</v>
      </c>
      <c r="J1709">
        <v>327.54050999999998</v>
      </c>
      <c r="L1709" t="s">
        <v>20</v>
      </c>
      <c r="M1709" t="s">
        <v>7036</v>
      </c>
    </row>
    <row r="1710" spans="1:13" x14ac:dyDescent="0.25">
      <c r="A1710">
        <v>6533243</v>
      </c>
      <c r="B1710" t="s">
        <v>7037</v>
      </c>
      <c r="C1710" t="str">
        <f>"9780472119806"</f>
        <v>9780472119806</v>
      </c>
      <c r="D1710" t="str">
        <f>"9780472900619"</f>
        <v>9780472900619</v>
      </c>
      <c r="E1710" t="s">
        <v>6708</v>
      </c>
      <c r="F1710" s="1">
        <v>42433</v>
      </c>
      <c r="G1710" t="s">
        <v>7038</v>
      </c>
      <c r="H1710" t="s">
        <v>70</v>
      </c>
      <c r="I1710" t="s">
        <v>7039</v>
      </c>
      <c r="J1710">
        <v>820.90049999999997</v>
      </c>
      <c r="K1710" t="s">
        <v>7040</v>
      </c>
      <c r="L1710" t="s">
        <v>20</v>
      </c>
      <c r="M1710" t="s">
        <v>7041</v>
      </c>
    </row>
    <row r="1711" spans="1:13" x14ac:dyDescent="0.25">
      <c r="A1711">
        <v>6533244</v>
      </c>
      <c r="B1711" t="s">
        <v>7042</v>
      </c>
      <c r="C1711" t="str">
        <f>"9780472130283"</f>
        <v>9780472130283</v>
      </c>
      <c r="D1711" t="str">
        <f>"9780472902583"</f>
        <v>9780472902583</v>
      </c>
      <c r="E1711" t="s">
        <v>6708</v>
      </c>
      <c r="F1711" s="1">
        <v>42855</v>
      </c>
      <c r="G1711" t="s">
        <v>7043</v>
      </c>
      <c r="H1711" t="s">
        <v>139</v>
      </c>
      <c r="I1711" t="s">
        <v>7044</v>
      </c>
      <c r="J1711" t="s">
        <v>7045</v>
      </c>
      <c r="L1711" t="s">
        <v>20</v>
      </c>
      <c r="M1711" t="s">
        <v>7046</v>
      </c>
    </row>
    <row r="1712" spans="1:13" x14ac:dyDescent="0.25">
      <c r="A1712">
        <v>6533245</v>
      </c>
      <c r="B1712" t="s">
        <v>7047</v>
      </c>
      <c r="C1712" t="str">
        <f>"9780472073535"</f>
        <v>9780472073535</v>
      </c>
      <c r="D1712" t="str">
        <f>"9780472123032"</f>
        <v>9780472123032</v>
      </c>
      <c r="E1712" t="s">
        <v>6708</v>
      </c>
      <c r="F1712" s="1">
        <v>42946</v>
      </c>
      <c r="G1712" t="s">
        <v>7048</v>
      </c>
      <c r="H1712" t="s">
        <v>64</v>
      </c>
      <c r="I1712" t="s">
        <v>7049</v>
      </c>
      <c r="J1712">
        <v>305</v>
      </c>
      <c r="K1712" t="s">
        <v>7050</v>
      </c>
      <c r="L1712" t="s">
        <v>20</v>
      </c>
      <c r="M1712" t="s">
        <v>7051</v>
      </c>
    </row>
    <row r="1713" spans="1:13" x14ac:dyDescent="0.25">
      <c r="A1713">
        <v>6533246</v>
      </c>
      <c r="B1713" t="s">
        <v>7052</v>
      </c>
      <c r="C1713" t="str">
        <f>"9780472130146"</f>
        <v>9780472130146</v>
      </c>
      <c r="D1713" t="str">
        <f>"9780472902569"</f>
        <v>9780472902569</v>
      </c>
      <c r="E1713" t="s">
        <v>6708</v>
      </c>
      <c r="F1713" s="1">
        <v>42704</v>
      </c>
      <c r="G1713" t="s">
        <v>7053</v>
      </c>
      <c r="H1713" t="s">
        <v>64</v>
      </c>
      <c r="I1713" t="s">
        <v>7054</v>
      </c>
      <c r="J1713">
        <v>305.40942000000001</v>
      </c>
      <c r="L1713" t="s">
        <v>20</v>
      </c>
      <c r="M1713" t="s">
        <v>7055</v>
      </c>
    </row>
    <row r="1714" spans="1:13" x14ac:dyDescent="0.25">
      <c r="A1714">
        <v>6533247</v>
      </c>
      <c r="B1714" t="s">
        <v>7056</v>
      </c>
      <c r="C1714" t="str">
        <f>"9780472073030"</f>
        <v>9780472073030</v>
      </c>
      <c r="D1714" t="str">
        <f>"9780472900664"</f>
        <v>9780472900664</v>
      </c>
      <c r="E1714" t="s">
        <v>6708</v>
      </c>
      <c r="F1714" s="1">
        <v>42460</v>
      </c>
      <c r="G1714" t="s">
        <v>7057</v>
      </c>
      <c r="H1714" t="s">
        <v>246</v>
      </c>
      <c r="I1714" t="s">
        <v>7058</v>
      </c>
      <c r="J1714">
        <v>770</v>
      </c>
      <c r="K1714" t="s">
        <v>7059</v>
      </c>
      <c r="L1714" t="s">
        <v>20</v>
      </c>
      <c r="M1714" t="s">
        <v>7060</v>
      </c>
    </row>
    <row r="1715" spans="1:13" x14ac:dyDescent="0.25">
      <c r="A1715">
        <v>6533330</v>
      </c>
      <c r="B1715" t="s">
        <v>7061</v>
      </c>
      <c r="C1715" t="str">
        <f>"9783476057631"</f>
        <v>9783476057631</v>
      </c>
      <c r="D1715" t="str">
        <f>"9783476057648"</f>
        <v>9783476057648</v>
      </c>
      <c r="E1715" t="s">
        <v>5860</v>
      </c>
      <c r="F1715" s="1">
        <v>44288</v>
      </c>
      <c r="G1715" t="s">
        <v>7062</v>
      </c>
      <c r="H1715" t="s">
        <v>70</v>
      </c>
      <c r="I1715" t="s">
        <v>7063</v>
      </c>
      <c r="L1715" t="s">
        <v>291</v>
      </c>
      <c r="M1715" t="s">
        <v>7064</v>
      </c>
    </row>
    <row r="1716" spans="1:13" x14ac:dyDescent="0.25">
      <c r="A1716">
        <v>6533358</v>
      </c>
      <c r="B1716" t="s">
        <v>7065</v>
      </c>
      <c r="C1716" t="str">
        <f>"9783030619084"</f>
        <v>9783030619084</v>
      </c>
      <c r="D1716" t="str">
        <f>"9783030619091"</f>
        <v>9783030619091</v>
      </c>
      <c r="E1716" t="s">
        <v>2905</v>
      </c>
      <c r="F1716" s="1">
        <v>44288</v>
      </c>
      <c r="G1716" t="s">
        <v>7066</v>
      </c>
      <c r="H1716" t="s">
        <v>2623</v>
      </c>
      <c r="I1716" t="s">
        <v>5676</v>
      </c>
      <c r="L1716" t="s">
        <v>20</v>
      </c>
      <c r="M1716" t="s">
        <v>7067</v>
      </c>
    </row>
    <row r="1717" spans="1:13" x14ac:dyDescent="0.25">
      <c r="A1717">
        <v>6533434</v>
      </c>
      <c r="B1717" t="s">
        <v>7068</v>
      </c>
      <c r="C1717" t="str">
        <f>"9783030726317"</f>
        <v>9783030726317</v>
      </c>
      <c r="D1717" t="str">
        <f>"9783030726324"</f>
        <v>9783030726324</v>
      </c>
      <c r="E1717" t="s">
        <v>2905</v>
      </c>
      <c r="F1717" s="1">
        <v>44288</v>
      </c>
      <c r="G1717" t="s">
        <v>7069</v>
      </c>
      <c r="H1717" t="s">
        <v>712</v>
      </c>
      <c r="I1717" t="s">
        <v>6117</v>
      </c>
      <c r="L1717" t="s">
        <v>20</v>
      </c>
      <c r="M1717" t="s">
        <v>7070</v>
      </c>
    </row>
    <row r="1718" spans="1:13" x14ac:dyDescent="0.25">
      <c r="A1718">
        <v>6533680</v>
      </c>
      <c r="B1718" t="s">
        <v>7071</v>
      </c>
      <c r="C1718" t="str">
        <f>"9780472131112"</f>
        <v>9780472131112</v>
      </c>
      <c r="D1718" t="str">
        <f>"9780472900879"</f>
        <v>9780472900879</v>
      </c>
      <c r="E1718" t="s">
        <v>6708</v>
      </c>
      <c r="F1718" s="1">
        <v>43489</v>
      </c>
      <c r="G1718" t="s">
        <v>7072</v>
      </c>
      <c r="H1718" t="s">
        <v>2293</v>
      </c>
      <c r="I1718" t="s">
        <v>7073</v>
      </c>
      <c r="J1718">
        <v>1.3028500000000001</v>
      </c>
      <c r="L1718" t="s">
        <v>20</v>
      </c>
      <c r="M1718" t="s">
        <v>7074</v>
      </c>
    </row>
    <row r="1719" spans="1:13" x14ac:dyDescent="0.25">
      <c r="A1719">
        <v>6533744</v>
      </c>
      <c r="B1719" t="s">
        <v>7075</v>
      </c>
      <c r="C1719" t="str">
        <f>"9780939512935"</f>
        <v>9780939512935</v>
      </c>
      <c r="D1719" t="str">
        <f>"9780472901913"</f>
        <v>9780472901913</v>
      </c>
      <c r="E1719" t="s">
        <v>7076</v>
      </c>
      <c r="F1719" s="1">
        <v>36555</v>
      </c>
      <c r="G1719" t="s">
        <v>7077</v>
      </c>
      <c r="H1719" t="s">
        <v>310</v>
      </c>
      <c r="I1719" t="s">
        <v>7078</v>
      </c>
      <c r="J1719">
        <v>275.20800000000003</v>
      </c>
      <c r="L1719" t="s">
        <v>20</v>
      </c>
      <c r="M1719" t="s">
        <v>7079</v>
      </c>
    </row>
    <row r="1720" spans="1:13" x14ac:dyDescent="0.25">
      <c r="A1720">
        <v>6533745</v>
      </c>
      <c r="B1720" t="s">
        <v>7080</v>
      </c>
      <c r="C1720" t="str">
        <f>"9780891480341"</f>
        <v>9780891480341</v>
      </c>
      <c r="D1720" t="str">
        <f>"9780472901654"</f>
        <v>9780472901654</v>
      </c>
      <c r="E1720" t="s">
        <v>7081</v>
      </c>
      <c r="F1720" s="1">
        <v>31778</v>
      </c>
      <c r="G1720" t="s">
        <v>7082</v>
      </c>
      <c r="H1720" t="s">
        <v>246</v>
      </c>
      <c r="I1720" t="s">
        <v>7083</v>
      </c>
      <c r="L1720" t="s">
        <v>20</v>
      </c>
      <c r="M1720" t="s">
        <v>7084</v>
      </c>
    </row>
    <row r="1721" spans="1:13" x14ac:dyDescent="0.25">
      <c r="A1721">
        <v>6533746</v>
      </c>
      <c r="B1721" t="s">
        <v>7085</v>
      </c>
      <c r="C1721" t="str">
        <f>"9780472119196"</f>
        <v>9780472119196</v>
      </c>
      <c r="D1721" t="str">
        <f>"9780472900954"</f>
        <v>9780472900954</v>
      </c>
      <c r="E1721" t="s">
        <v>6708</v>
      </c>
      <c r="F1721" s="1">
        <v>41669</v>
      </c>
      <c r="G1721" t="s">
        <v>7086</v>
      </c>
      <c r="H1721" t="s">
        <v>3289</v>
      </c>
      <c r="I1721" t="s">
        <v>7087</v>
      </c>
      <c r="J1721" t="s">
        <v>7088</v>
      </c>
      <c r="L1721" t="s">
        <v>20</v>
      </c>
      <c r="M1721" t="s">
        <v>7089</v>
      </c>
    </row>
    <row r="1722" spans="1:13" x14ac:dyDescent="0.25">
      <c r="A1722">
        <v>6533747</v>
      </c>
      <c r="B1722" t="s">
        <v>7090</v>
      </c>
      <c r="C1722" t="str">
        <f>"9780892640331"</f>
        <v>9780892640331</v>
      </c>
      <c r="D1722" t="str">
        <f>"9780472901494"</f>
        <v>9780472901494</v>
      </c>
      <c r="E1722" t="s">
        <v>7091</v>
      </c>
      <c r="F1722" s="1">
        <v>28520</v>
      </c>
      <c r="G1722" t="s">
        <v>7092</v>
      </c>
      <c r="H1722" t="s">
        <v>30</v>
      </c>
      <c r="I1722" t="s">
        <v>7093</v>
      </c>
      <c r="L1722" t="s">
        <v>20</v>
      </c>
      <c r="M1722" t="s">
        <v>7094</v>
      </c>
    </row>
    <row r="1723" spans="1:13" x14ac:dyDescent="0.25">
      <c r="A1723">
        <v>6533749</v>
      </c>
      <c r="B1723" t="s">
        <v>7095</v>
      </c>
      <c r="C1723" t="str">
        <f>"9780891480419"</f>
        <v>9780891480419</v>
      </c>
      <c r="D1723" t="str">
        <f>"9780472901661"</f>
        <v>9780472901661</v>
      </c>
      <c r="E1723" t="s">
        <v>7081</v>
      </c>
      <c r="F1723" s="1">
        <v>32143</v>
      </c>
      <c r="G1723" t="s">
        <v>7082</v>
      </c>
      <c r="H1723" t="s">
        <v>3289</v>
      </c>
      <c r="L1723" t="s">
        <v>20</v>
      </c>
      <c r="M1723" t="s">
        <v>7096</v>
      </c>
    </row>
    <row r="1724" spans="1:13" x14ac:dyDescent="0.25">
      <c r="A1724">
        <v>6533750</v>
      </c>
      <c r="B1724" t="s">
        <v>7097</v>
      </c>
      <c r="C1724" t="str">
        <f>"9780892640140"</f>
        <v>9780892640140</v>
      </c>
      <c r="D1724" t="str">
        <f>"9780472901869"</f>
        <v>9780472901869</v>
      </c>
      <c r="E1724" t="s">
        <v>7091</v>
      </c>
      <c r="F1724" s="1">
        <v>26665</v>
      </c>
      <c r="G1724" t="s">
        <v>7098</v>
      </c>
      <c r="H1724" t="s">
        <v>2293</v>
      </c>
      <c r="I1724" t="s">
        <v>7099</v>
      </c>
      <c r="L1724" t="s">
        <v>20</v>
      </c>
      <c r="M1724" t="s">
        <v>7100</v>
      </c>
    </row>
    <row r="1725" spans="1:13" x14ac:dyDescent="0.25">
      <c r="A1725">
        <v>6533751</v>
      </c>
      <c r="B1725" t="s">
        <v>7101</v>
      </c>
      <c r="C1725" t="str">
        <f>"9780472072231"</f>
        <v>9780472072231</v>
      </c>
      <c r="D1725" t="str">
        <f>"9780472900893"</f>
        <v>9780472900893</v>
      </c>
      <c r="E1725" t="s">
        <v>6708</v>
      </c>
      <c r="F1725" s="1">
        <v>41855</v>
      </c>
      <c r="G1725" t="s">
        <v>7102</v>
      </c>
      <c r="H1725" t="s">
        <v>64</v>
      </c>
      <c r="I1725" t="s">
        <v>7103</v>
      </c>
      <c r="J1725" t="s">
        <v>7104</v>
      </c>
      <c r="L1725" t="s">
        <v>20</v>
      </c>
      <c r="M1725" t="s">
        <v>7105</v>
      </c>
    </row>
    <row r="1726" spans="1:13" x14ac:dyDescent="0.25">
      <c r="A1726">
        <v>6533752</v>
      </c>
      <c r="B1726" t="s">
        <v>7106</v>
      </c>
      <c r="C1726" t="str">
        <f>"9780892640652"</f>
        <v>9780892640652</v>
      </c>
      <c r="D1726" t="str">
        <f>"9780472901845"</f>
        <v>9780472901845</v>
      </c>
      <c r="E1726" t="s">
        <v>7091</v>
      </c>
      <c r="F1726" s="1">
        <v>31807</v>
      </c>
      <c r="G1726" t="s">
        <v>7107</v>
      </c>
      <c r="H1726" t="s">
        <v>30</v>
      </c>
      <c r="I1726" t="s">
        <v>7108</v>
      </c>
      <c r="J1726" t="s">
        <v>7109</v>
      </c>
      <c r="L1726" t="s">
        <v>20</v>
      </c>
      <c r="M1726" t="s">
        <v>7110</v>
      </c>
    </row>
    <row r="1727" spans="1:13" x14ac:dyDescent="0.25">
      <c r="A1727">
        <v>6533753</v>
      </c>
      <c r="B1727" t="s">
        <v>7111</v>
      </c>
      <c r="C1727" t="str">
        <f>"9780472119387"</f>
        <v>9780472119387</v>
      </c>
      <c r="D1727" t="str">
        <f>"9780472900930"</f>
        <v>9780472900930</v>
      </c>
      <c r="E1727" t="s">
        <v>6708</v>
      </c>
      <c r="F1727" s="1">
        <v>41881</v>
      </c>
      <c r="G1727" t="s">
        <v>7112</v>
      </c>
      <c r="H1727" t="s">
        <v>64</v>
      </c>
      <c r="I1727" t="s">
        <v>7113</v>
      </c>
      <c r="J1727" t="s">
        <v>7114</v>
      </c>
      <c r="L1727" t="s">
        <v>20</v>
      </c>
      <c r="M1727" t="s">
        <v>7115</v>
      </c>
    </row>
    <row r="1728" spans="1:13" x14ac:dyDescent="0.25">
      <c r="A1728">
        <v>6533754</v>
      </c>
      <c r="B1728" t="s">
        <v>7116</v>
      </c>
      <c r="C1728" t="str">
        <f>"9780892641062"</f>
        <v>9780892641062</v>
      </c>
      <c r="D1728" t="str">
        <f>"9780472901340"</f>
        <v>9780472901340</v>
      </c>
      <c r="E1728" t="s">
        <v>7091</v>
      </c>
      <c r="F1728" s="1">
        <v>34700</v>
      </c>
      <c r="G1728" t="s">
        <v>7117</v>
      </c>
      <c r="H1728" t="s">
        <v>310</v>
      </c>
      <c r="I1728" t="s">
        <v>7118</v>
      </c>
      <c r="L1728" t="s">
        <v>20</v>
      </c>
      <c r="M1728" t="s">
        <v>7119</v>
      </c>
    </row>
    <row r="1729" spans="1:13" x14ac:dyDescent="0.25">
      <c r="A1729">
        <v>6533756</v>
      </c>
      <c r="B1729" t="s">
        <v>7120</v>
      </c>
      <c r="C1729" t="str">
        <f>"9780472073405"</f>
        <v>9780472073405</v>
      </c>
      <c r="D1729" t="str">
        <f>"9780472900817"</f>
        <v>9780472900817</v>
      </c>
      <c r="E1729" t="s">
        <v>6708</v>
      </c>
      <c r="F1729" s="1">
        <v>42855</v>
      </c>
      <c r="G1729" t="s">
        <v>7121</v>
      </c>
      <c r="H1729" t="s">
        <v>139</v>
      </c>
      <c r="I1729" t="s">
        <v>7122</v>
      </c>
      <c r="J1729">
        <v>943</v>
      </c>
      <c r="K1729" t="s">
        <v>7123</v>
      </c>
      <c r="L1729" t="s">
        <v>20</v>
      </c>
      <c r="M1729" t="s">
        <v>7124</v>
      </c>
    </row>
    <row r="1730" spans="1:13" x14ac:dyDescent="0.25">
      <c r="A1730">
        <v>6533758</v>
      </c>
      <c r="B1730" t="s">
        <v>7125</v>
      </c>
      <c r="C1730" t="str">
        <f>"9780472071715"</f>
        <v>9780472071715</v>
      </c>
      <c r="D1730" t="str">
        <f>"9780472900800"</f>
        <v>9780472900800</v>
      </c>
      <c r="E1730" t="s">
        <v>6708</v>
      </c>
      <c r="F1730" s="1">
        <v>41009</v>
      </c>
      <c r="G1730" t="s">
        <v>7126</v>
      </c>
      <c r="H1730" t="s">
        <v>70</v>
      </c>
      <c r="I1730" t="s">
        <v>7127</v>
      </c>
      <c r="J1730" t="s">
        <v>7128</v>
      </c>
      <c r="L1730" t="s">
        <v>20</v>
      </c>
      <c r="M1730" t="s">
        <v>7129</v>
      </c>
    </row>
    <row r="1731" spans="1:13" x14ac:dyDescent="0.25">
      <c r="A1731">
        <v>6533759</v>
      </c>
      <c r="B1731" t="s">
        <v>7130</v>
      </c>
      <c r="C1731" t="str">
        <f>"9780892640232"</f>
        <v>9780892640232</v>
      </c>
      <c r="D1731" t="str">
        <f>"9780472901883"</f>
        <v>9780472901883</v>
      </c>
      <c r="E1731" t="s">
        <v>7091</v>
      </c>
      <c r="F1731" s="1">
        <v>27424</v>
      </c>
      <c r="G1731" t="s">
        <v>7131</v>
      </c>
      <c r="H1731" t="s">
        <v>139</v>
      </c>
      <c r="I1731" t="s">
        <v>7132</v>
      </c>
      <c r="J1731">
        <v>951.04200000000003</v>
      </c>
      <c r="L1731" t="s">
        <v>20</v>
      </c>
      <c r="M1731" t="s">
        <v>7133</v>
      </c>
    </row>
    <row r="1732" spans="1:13" x14ac:dyDescent="0.25">
      <c r="A1732">
        <v>6533760</v>
      </c>
      <c r="B1732" t="s">
        <v>7134</v>
      </c>
      <c r="C1732" t="str">
        <f>"9780472130498"</f>
        <v>9780472130498</v>
      </c>
      <c r="D1732" t="str">
        <f>"9780472902514"</f>
        <v>9780472902514</v>
      </c>
      <c r="E1732" t="s">
        <v>6708</v>
      </c>
      <c r="F1732" s="1">
        <v>42916</v>
      </c>
      <c r="G1732" t="s">
        <v>7135</v>
      </c>
      <c r="H1732" t="s">
        <v>41</v>
      </c>
      <c r="I1732" t="s">
        <v>7136</v>
      </c>
      <c r="J1732">
        <v>330.9</v>
      </c>
      <c r="K1732" t="s">
        <v>7137</v>
      </c>
      <c r="L1732" t="s">
        <v>20</v>
      </c>
      <c r="M1732" t="s">
        <v>7138</v>
      </c>
    </row>
    <row r="1733" spans="1:13" x14ac:dyDescent="0.25">
      <c r="A1733">
        <v>6533761</v>
      </c>
      <c r="B1733" t="s">
        <v>7139</v>
      </c>
      <c r="C1733" t="str">
        <f>"9780472073726"</f>
        <v>9780472073726</v>
      </c>
      <c r="D1733" t="str">
        <f>"9780472901029"</f>
        <v>9780472901029</v>
      </c>
      <c r="E1733" t="s">
        <v>6708</v>
      </c>
      <c r="F1733" s="1">
        <v>43159</v>
      </c>
      <c r="G1733" t="s">
        <v>7140</v>
      </c>
      <c r="H1733" t="s">
        <v>246</v>
      </c>
      <c r="I1733" t="s">
        <v>7141</v>
      </c>
      <c r="J1733">
        <v>791.43095100000005</v>
      </c>
      <c r="L1733" t="s">
        <v>20</v>
      </c>
      <c r="M1733" t="s">
        <v>7142</v>
      </c>
    </row>
    <row r="1734" spans="1:13" x14ac:dyDescent="0.25">
      <c r="A1734">
        <v>6533802</v>
      </c>
      <c r="B1734" t="s">
        <v>7143</v>
      </c>
      <c r="C1734" t="str">
        <f>"9780472072682"</f>
        <v>9780472072682</v>
      </c>
      <c r="D1734" t="str">
        <f>"9780472900114"</f>
        <v>9780472900114</v>
      </c>
      <c r="E1734" t="s">
        <v>6708</v>
      </c>
      <c r="F1734" s="1">
        <v>42156</v>
      </c>
      <c r="G1734" t="s">
        <v>7144</v>
      </c>
      <c r="H1734" t="s">
        <v>1657</v>
      </c>
      <c r="I1734" t="s">
        <v>7145</v>
      </c>
      <c r="J1734">
        <v>808.00284999999997</v>
      </c>
      <c r="K1734" t="s">
        <v>7146</v>
      </c>
      <c r="L1734" t="s">
        <v>20</v>
      </c>
      <c r="M1734" t="s">
        <v>7147</v>
      </c>
    </row>
    <row r="1735" spans="1:13" x14ac:dyDescent="0.25">
      <c r="A1735">
        <v>6533803</v>
      </c>
      <c r="B1735" t="s">
        <v>7148</v>
      </c>
      <c r="C1735" t="str">
        <f>"9780472130856"</f>
        <v>9780472130856</v>
      </c>
      <c r="D1735" t="str">
        <f>"9780472900831"</f>
        <v>9780472900831</v>
      </c>
      <c r="E1735" t="s">
        <v>6708</v>
      </c>
      <c r="F1735" s="1">
        <v>43286</v>
      </c>
      <c r="G1735" t="s">
        <v>7149</v>
      </c>
      <c r="H1735" t="s">
        <v>70</v>
      </c>
      <c r="I1735" t="s">
        <v>7150</v>
      </c>
      <c r="J1735">
        <v>809.30340000000001</v>
      </c>
      <c r="K1735" t="s">
        <v>7151</v>
      </c>
      <c r="L1735" t="s">
        <v>20</v>
      </c>
      <c r="M1735" t="s">
        <v>7152</v>
      </c>
    </row>
    <row r="1736" spans="1:13" x14ac:dyDescent="0.25">
      <c r="A1736">
        <v>6533805</v>
      </c>
      <c r="B1736" t="s">
        <v>7153</v>
      </c>
      <c r="C1736" t="str">
        <f>"9780472073511"</f>
        <v>9780472073511</v>
      </c>
      <c r="D1736" t="str">
        <f>"9780472900701"</f>
        <v>9780472900701</v>
      </c>
      <c r="E1736" t="s">
        <v>6708</v>
      </c>
      <c r="F1736" s="1">
        <v>42886</v>
      </c>
      <c r="G1736" t="s">
        <v>7154</v>
      </c>
      <c r="H1736" t="s">
        <v>363</v>
      </c>
      <c r="I1736" t="s">
        <v>7155</v>
      </c>
      <c r="J1736">
        <v>370.11700000000002</v>
      </c>
      <c r="K1736" t="s">
        <v>7156</v>
      </c>
      <c r="L1736" t="s">
        <v>20</v>
      </c>
      <c r="M1736" t="s">
        <v>7157</v>
      </c>
    </row>
    <row r="1737" spans="1:13" x14ac:dyDescent="0.25">
      <c r="A1737">
        <v>6533806</v>
      </c>
      <c r="B1737" t="s">
        <v>7158</v>
      </c>
      <c r="C1737" t="str">
        <f>"9780472074037"</f>
        <v>9780472074037</v>
      </c>
      <c r="D1737" t="str">
        <f>"9780472900862"</f>
        <v>9780472900862</v>
      </c>
      <c r="E1737" t="s">
        <v>6708</v>
      </c>
      <c r="F1737" s="1">
        <v>43367</v>
      </c>
      <c r="G1737" t="s">
        <v>7159</v>
      </c>
      <c r="H1737" t="s">
        <v>851</v>
      </c>
      <c r="I1737" t="s">
        <v>7160</v>
      </c>
      <c r="J1737">
        <v>418.02</v>
      </c>
      <c r="K1737" t="s">
        <v>7161</v>
      </c>
      <c r="L1737" t="s">
        <v>20</v>
      </c>
      <c r="M1737" t="s">
        <v>7162</v>
      </c>
    </row>
    <row r="1738" spans="1:13" x14ac:dyDescent="0.25">
      <c r="A1738">
        <v>6533807</v>
      </c>
      <c r="B1738" t="s">
        <v>7163</v>
      </c>
      <c r="C1738" t="str">
        <f>"9780472130863"</f>
        <v>9780472130863</v>
      </c>
      <c r="D1738" t="str">
        <f>"9780472900848"</f>
        <v>9780472900848</v>
      </c>
      <c r="E1738" t="s">
        <v>6708</v>
      </c>
      <c r="F1738" s="1">
        <v>43266</v>
      </c>
      <c r="G1738" t="s">
        <v>7164</v>
      </c>
      <c r="H1738" t="s">
        <v>7165</v>
      </c>
      <c r="I1738" t="s">
        <v>7166</v>
      </c>
      <c r="J1738">
        <v>769.56973000000005</v>
      </c>
      <c r="K1738" t="s">
        <v>7167</v>
      </c>
      <c r="L1738" t="s">
        <v>20</v>
      </c>
      <c r="M1738" t="s">
        <v>7168</v>
      </c>
    </row>
    <row r="1739" spans="1:13" x14ac:dyDescent="0.25">
      <c r="A1739">
        <v>6533808</v>
      </c>
      <c r="B1739" t="s">
        <v>7169</v>
      </c>
      <c r="C1739" t="str">
        <f>"9780472072446"</f>
        <v>9780472072446</v>
      </c>
      <c r="D1739" t="str">
        <f>"9780472900145"</f>
        <v>9780472900145</v>
      </c>
      <c r="E1739" t="s">
        <v>6708</v>
      </c>
      <c r="F1739" s="1">
        <v>42010</v>
      </c>
      <c r="G1739" t="s">
        <v>7170</v>
      </c>
      <c r="H1739" t="s">
        <v>64</v>
      </c>
      <c r="I1739" t="s">
        <v>7171</v>
      </c>
      <c r="J1739">
        <v>302.2</v>
      </c>
      <c r="K1739" t="s">
        <v>7172</v>
      </c>
      <c r="L1739" t="s">
        <v>20</v>
      </c>
      <c r="M1739" t="s">
        <v>7173</v>
      </c>
    </row>
    <row r="1740" spans="1:13" x14ac:dyDescent="0.25">
      <c r="A1740">
        <v>6533811</v>
      </c>
      <c r="B1740" t="s">
        <v>7174</v>
      </c>
      <c r="C1740" t="str">
        <f>"9780472073061"</f>
        <v>9780472073061</v>
      </c>
      <c r="D1740" t="str">
        <f>"9780472900053"</f>
        <v>9780472900053</v>
      </c>
      <c r="E1740" t="s">
        <v>6708</v>
      </c>
      <c r="F1740" s="1">
        <v>42573</v>
      </c>
      <c r="G1740" t="s">
        <v>7175</v>
      </c>
      <c r="H1740" t="s">
        <v>2293</v>
      </c>
      <c r="I1740" t="s">
        <v>7176</v>
      </c>
      <c r="J1740">
        <v>1.3028500000000001</v>
      </c>
      <c r="K1740" t="s">
        <v>7177</v>
      </c>
      <c r="L1740" t="s">
        <v>20</v>
      </c>
      <c r="M1740" t="s">
        <v>7178</v>
      </c>
    </row>
    <row r="1741" spans="1:13" x14ac:dyDescent="0.25">
      <c r="A1741">
        <v>6533976</v>
      </c>
      <c r="B1741" t="s">
        <v>7179</v>
      </c>
      <c r="C1741" t="str">
        <f>"9780472117611"</f>
        <v>9780472117611</v>
      </c>
      <c r="D1741" t="str">
        <f>"9780472900299"</f>
        <v>9780472900299</v>
      </c>
      <c r="E1741" t="s">
        <v>6708</v>
      </c>
      <c r="F1741" s="1">
        <v>40604</v>
      </c>
      <c r="G1741" t="s">
        <v>7180</v>
      </c>
      <c r="H1741" t="s">
        <v>7181</v>
      </c>
      <c r="I1741" t="s">
        <v>7182</v>
      </c>
      <c r="J1741" t="s">
        <v>7183</v>
      </c>
      <c r="K1741" t="s">
        <v>7184</v>
      </c>
      <c r="L1741" t="s">
        <v>20</v>
      </c>
      <c r="M1741" t="s">
        <v>7185</v>
      </c>
    </row>
    <row r="1742" spans="1:13" x14ac:dyDescent="0.25">
      <c r="A1742">
        <v>6533977</v>
      </c>
      <c r="B1742" t="s">
        <v>7186</v>
      </c>
      <c r="C1742" t="str">
        <f>"9780472072156"</f>
        <v>9780472072156</v>
      </c>
      <c r="D1742" t="str">
        <f>"9780472900213"</f>
        <v>9780472900213</v>
      </c>
      <c r="E1742" t="s">
        <v>6708</v>
      </c>
      <c r="F1742" s="1">
        <v>41934</v>
      </c>
      <c r="G1742" t="s">
        <v>7187</v>
      </c>
      <c r="H1742" t="s">
        <v>64</v>
      </c>
      <c r="I1742" t="s">
        <v>7188</v>
      </c>
      <c r="J1742">
        <v>302.23094800000001</v>
      </c>
      <c r="K1742" t="s">
        <v>7189</v>
      </c>
      <c r="L1742" t="s">
        <v>20</v>
      </c>
      <c r="M1742" t="s">
        <v>7190</v>
      </c>
    </row>
    <row r="1743" spans="1:13" x14ac:dyDescent="0.25">
      <c r="A1743">
        <v>6533979</v>
      </c>
      <c r="B1743" t="s">
        <v>7191</v>
      </c>
      <c r="C1743" t="str">
        <f>"9780472070923"</f>
        <v>9780472070923</v>
      </c>
      <c r="D1743" t="str">
        <f>"9780472900398"</f>
        <v>9780472900398</v>
      </c>
      <c r="E1743" t="s">
        <v>6708</v>
      </c>
      <c r="F1743" s="1">
        <v>40290</v>
      </c>
      <c r="G1743" t="s">
        <v>7192</v>
      </c>
      <c r="H1743" t="s">
        <v>3948</v>
      </c>
      <c r="I1743" t="s">
        <v>7193</v>
      </c>
      <c r="J1743">
        <v>794.8</v>
      </c>
      <c r="K1743" t="s">
        <v>7194</v>
      </c>
      <c r="L1743" t="s">
        <v>20</v>
      </c>
      <c r="M1743" t="s">
        <v>7195</v>
      </c>
    </row>
    <row r="1744" spans="1:13" x14ac:dyDescent="0.25">
      <c r="A1744">
        <v>6533980</v>
      </c>
      <c r="B1744" t="s">
        <v>7196</v>
      </c>
      <c r="C1744" t="str">
        <f>"9780472116102"</f>
        <v>9780472116102</v>
      </c>
      <c r="D1744" t="str">
        <f>"9780472901159"</f>
        <v>9780472901159</v>
      </c>
      <c r="E1744" t="s">
        <v>6708</v>
      </c>
      <c r="F1744" s="1">
        <v>39389</v>
      </c>
      <c r="G1744" t="s">
        <v>7197</v>
      </c>
      <c r="H1744" t="s">
        <v>7198</v>
      </c>
      <c r="I1744" t="s">
        <v>7199</v>
      </c>
      <c r="J1744">
        <v>362.29</v>
      </c>
      <c r="K1744" t="s">
        <v>7200</v>
      </c>
      <c r="L1744" t="s">
        <v>20</v>
      </c>
      <c r="M1744" t="s">
        <v>7201</v>
      </c>
    </row>
    <row r="1745" spans="1:13" x14ac:dyDescent="0.25">
      <c r="A1745">
        <v>6533982</v>
      </c>
      <c r="B1745" t="s">
        <v>7202</v>
      </c>
      <c r="C1745" t="str">
        <f>"9780883864913"</f>
        <v>9780883864913</v>
      </c>
      <c r="D1745" t="str">
        <f>"9780472902286"</f>
        <v>9780472902286</v>
      </c>
      <c r="E1745" t="s">
        <v>7081</v>
      </c>
      <c r="F1745" s="1">
        <v>27030</v>
      </c>
      <c r="G1745" t="s">
        <v>7203</v>
      </c>
      <c r="H1745" t="s">
        <v>246</v>
      </c>
      <c r="I1745" t="s">
        <v>7083</v>
      </c>
      <c r="L1745" t="s">
        <v>20</v>
      </c>
      <c r="M1745" t="s">
        <v>7204</v>
      </c>
    </row>
    <row r="1746" spans="1:13" x14ac:dyDescent="0.25">
      <c r="A1746">
        <v>6533983</v>
      </c>
      <c r="B1746" t="s">
        <v>7205</v>
      </c>
      <c r="C1746" t="str">
        <f>"9780472071913"</f>
        <v>9780472071913</v>
      </c>
      <c r="D1746" t="str">
        <f>"9780472900268"</f>
        <v>9780472900268</v>
      </c>
      <c r="E1746" t="s">
        <v>6708</v>
      </c>
      <c r="F1746" s="1">
        <v>41443</v>
      </c>
      <c r="G1746" t="s">
        <v>7206</v>
      </c>
      <c r="H1746" t="s">
        <v>3948</v>
      </c>
      <c r="I1746" t="s">
        <v>7193</v>
      </c>
      <c r="L1746" t="s">
        <v>20</v>
      </c>
      <c r="M1746" t="s">
        <v>7207</v>
      </c>
    </row>
    <row r="1747" spans="1:13" x14ac:dyDescent="0.25">
      <c r="A1747">
        <v>6533984</v>
      </c>
      <c r="B1747" t="s">
        <v>7208</v>
      </c>
      <c r="C1747" t="str">
        <f>"9780472119363"</f>
        <v>9780472119363</v>
      </c>
      <c r="D1747" t="str">
        <f>"9780472120499"</f>
        <v>9780472120499</v>
      </c>
      <c r="E1747" t="s">
        <v>6708</v>
      </c>
      <c r="F1747" s="1">
        <v>41753</v>
      </c>
      <c r="G1747" t="s">
        <v>7209</v>
      </c>
      <c r="H1747" t="s">
        <v>5134</v>
      </c>
      <c r="I1747" t="s">
        <v>7210</v>
      </c>
      <c r="J1747" t="s">
        <v>7211</v>
      </c>
      <c r="K1747" t="s">
        <v>7212</v>
      </c>
      <c r="L1747" t="s">
        <v>20</v>
      </c>
      <c r="M1747" t="s">
        <v>7213</v>
      </c>
    </row>
    <row r="1748" spans="1:13" x14ac:dyDescent="0.25">
      <c r="A1748">
        <v>6533985</v>
      </c>
      <c r="B1748" t="s">
        <v>7214</v>
      </c>
      <c r="C1748" t="str">
        <f>"9780472070985"</f>
        <v>9780472070985</v>
      </c>
      <c r="D1748" t="str">
        <f>"9780472900435"</f>
        <v>9780472900435</v>
      </c>
      <c r="E1748" t="s">
        <v>6708</v>
      </c>
      <c r="F1748" s="1">
        <v>40323</v>
      </c>
      <c r="G1748" t="s">
        <v>7215</v>
      </c>
      <c r="H1748" t="s">
        <v>3948</v>
      </c>
      <c r="I1748" t="s">
        <v>7193</v>
      </c>
      <c r="J1748">
        <v>794.8</v>
      </c>
      <c r="K1748" t="s">
        <v>7216</v>
      </c>
      <c r="L1748" t="s">
        <v>20</v>
      </c>
      <c r="M1748" t="s">
        <v>7217</v>
      </c>
    </row>
    <row r="1749" spans="1:13" x14ac:dyDescent="0.25">
      <c r="A1749">
        <v>6533986</v>
      </c>
      <c r="B1749" t="s">
        <v>7218</v>
      </c>
      <c r="C1749" t="str">
        <f>"9780472070442"</f>
        <v>9780472070442</v>
      </c>
      <c r="D1749" t="str">
        <f>"9780472900473"</f>
        <v>9780472900473</v>
      </c>
      <c r="E1749" t="s">
        <v>6708</v>
      </c>
      <c r="F1749" s="1">
        <v>39751</v>
      </c>
      <c r="G1749" t="s">
        <v>7219</v>
      </c>
      <c r="H1749" t="s">
        <v>70</v>
      </c>
      <c r="I1749" t="s">
        <v>7220</v>
      </c>
      <c r="J1749" t="s">
        <v>7221</v>
      </c>
      <c r="L1749" t="s">
        <v>20</v>
      </c>
      <c r="M1749" t="s">
        <v>7222</v>
      </c>
    </row>
    <row r="1750" spans="1:13" x14ac:dyDescent="0.25">
      <c r="A1750">
        <v>6533987</v>
      </c>
      <c r="B1750" t="s">
        <v>7223</v>
      </c>
      <c r="C1750" t="str">
        <f>"9780472116713"</f>
        <v>9780472116713</v>
      </c>
      <c r="D1750" t="str">
        <f>"9780472900534"</f>
        <v>9780472900534</v>
      </c>
      <c r="E1750" t="s">
        <v>6708</v>
      </c>
      <c r="F1750" s="1">
        <v>39777</v>
      </c>
      <c r="G1750" t="s">
        <v>7224</v>
      </c>
      <c r="H1750" t="s">
        <v>1657</v>
      </c>
      <c r="I1750" t="s">
        <v>7225</v>
      </c>
      <c r="J1750" t="s">
        <v>7226</v>
      </c>
      <c r="L1750" t="s">
        <v>20</v>
      </c>
      <c r="M1750" t="s">
        <v>7227</v>
      </c>
    </row>
    <row r="1751" spans="1:13" x14ac:dyDescent="0.25">
      <c r="A1751">
        <v>6533988</v>
      </c>
      <c r="B1751" t="s">
        <v>7228</v>
      </c>
      <c r="C1751" t="str">
        <f>"9780883864173"</f>
        <v>9780883864173</v>
      </c>
      <c r="D1751" t="str">
        <f>"9780472902170"</f>
        <v>9780472902170</v>
      </c>
      <c r="E1751" t="s">
        <v>7081</v>
      </c>
      <c r="F1751" s="1">
        <v>27030</v>
      </c>
      <c r="G1751" t="s">
        <v>7229</v>
      </c>
      <c r="H1751" t="s">
        <v>64</v>
      </c>
      <c r="I1751" t="s">
        <v>7230</v>
      </c>
      <c r="L1751" t="s">
        <v>20</v>
      </c>
      <c r="M1751" t="s">
        <v>7231</v>
      </c>
    </row>
    <row r="1752" spans="1:13" x14ac:dyDescent="0.25">
      <c r="A1752">
        <v>6533993</v>
      </c>
      <c r="B1752" t="s">
        <v>7232</v>
      </c>
      <c r="C1752" t="str">
        <f>"9780939512867"</f>
        <v>9780939512867</v>
      </c>
      <c r="D1752" t="str">
        <f>"9780472901890"</f>
        <v>9780472901890</v>
      </c>
      <c r="E1752" t="s">
        <v>7076</v>
      </c>
      <c r="F1752" s="1">
        <v>35971</v>
      </c>
      <c r="G1752" t="s">
        <v>7233</v>
      </c>
      <c r="H1752" t="s">
        <v>70</v>
      </c>
      <c r="I1752" t="s">
        <v>7234</v>
      </c>
      <c r="J1752">
        <v>895.61220000000003</v>
      </c>
      <c r="K1752" t="s">
        <v>7235</v>
      </c>
      <c r="L1752" t="s">
        <v>20</v>
      </c>
      <c r="M1752" t="s">
        <v>7236</v>
      </c>
    </row>
    <row r="1753" spans="1:13" x14ac:dyDescent="0.25">
      <c r="A1753">
        <v>6533994</v>
      </c>
      <c r="B1753" t="s">
        <v>7237</v>
      </c>
      <c r="C1753" t="str">
        <f>"9781929280292"</f>
        <v>9781929280292</v>
      </c>
      <c r="D1753" t="str">
        <f>"9780472901975"</f>
        <v>9780472901975</v>
      </c>
      <c r="E1753" t="s">
        <v>7076</v>
      </c>
      <c r="F1753" s="1">
        <v>38335</v>
      </c>
      <c r="G1753" t="s">
        <v>7238</v>
      </c>
      <c r="H1753" t="s">
        <v>70</v>
      </c>
      <c r="I1753" t="s">
        <v>7239</v>
      </c>
      <c r="J1753" t="s">
        <v>7240</v>
      </c>
      <c r="K1753" t="s">
        <v>7241</v>
      </c>
      <c r="L1753" t="s">
        <v>20</v>
      </c>
      <c r="M1753" t="s">
        <v>7242</v>
      </c>
    </row>
    <row r="1754" spans="1:13" x14ac:dyDescent="0.25">
      <c r="A1754">
        <v>6533995</v>
      </c>
      <c r="B1754" t="s">
        <v>7243</v>
      </c>
      <c r="C1754" t="str">
        <f>"9780892640195"</f>
        <v>9780892640195</v>
      </c>
      <c r="D1754" t="str">
        <f>"9780472901371"</f>
        <v>9780472901371</v>
      </c>
      <c r="E1754" t="s">
        <v>7091</v>
      </c>
      <c r="F1754" s="1">
        <v>29616</v>
      </c>
      <c r="G1754" t="s">
        <v>7244</v>
      </c>
      <c r="H1754" t="s">
        <v>246</v>
      </c>
      <c r="I1754" t="s">
        <v>7245</v>
      </c>
      <c r="J1754" t="s">
        <v>7246</v>
      </c>
      <c r="K1754" t="s">
        <v>7247</v>
      </c>
      <c r="L1754" t="s">
        <v>20</v>
      </c>
      <c r="M1754" t="s">
        <v>7248</v>
      </c>
    </row>
    <row r="1755" spans="1:13" x14ac:dyDescent="0.25">
      <c r="A1755">
        <v>6533998</v>
      </c>
      <c r="B1755" t="s">
        <v>7249</v>
      </c>
      <c r="C1755" t="str">
        <f>"9780892640027"</f>
        <v>9780892640027</v>
      </c>
      <c r="D1755" t="str">
        <f>"9780472902125"</f>
        <v>9780472902125</v>
      </c>
      <c r="E1755" t="s">
        <v>7091</v>
      </c>
      <c r="F1755" s="1">
        <v>29616</v>
      </c>
      <c r="G1755" t="s">
        <v>7250</v>
      </c>
      <c r="H1755" t="s">
        <v>139</v>
      </c>
      <c r="J1755">
        <v>951.05600000000004</v>
      </c>
      <c r="L1755" t="s">
        <v>20</v>
      </c>
      <c r="M1755" t="s">
        <v>7251</v>
      </c>
    </row>
    <row r="1756" spans="1:13" x14ac:dyDescent="0.25">
      <c r="A1756">
        <v>6533999</v>
      </c>
      <c r="B1756" t="s">
        <v>7252</v>
      </c>
      <c r="C1756" t="str">
        <f>"9780892640164"</f>
        <v>9780892640164</v>
      </c>
      <c r="D1756" t="str">
        <f>"9780472902217"</f>
        <v>9780472902217</v>
      </c>
      <c r="E1756" t="s">
        <v>7091</v>
      </c>
      <c r="F1756" s="1">
        <v>29616</v>
      </c>
      <c r="G1756" t="s">
        <v>7253</v>
      </c>
      <c r="H1756" t="s">
        <v>2293</v>
      </c>
      <c r="J1756">
        <v>16.759951000000001</v>
      </c>
      <c r="L1756" t="s">
        <v>20</v>
      </c>
      <c r="M1756" t="s">
        <v>7254</v>
      </c>
    </row>
    <row r="1757" spans="1:13" x14ac:dyDescent="0.25">
      <c r="A1757">
        <v>6534000</v>
      </c>
      <c r="B1757" t="s">
        <v>7255</v>
      </c>
      <c r="C1757" t="str">
        <f>"9780892640201"</f>
        <v>9780892640201</v>
      </c>
      <c r="D1757" t="str">
        <f>"9780472901395"</f>
        <v>9780472901395</v>
      </c>
      <c r="E1757" t="s">
        <v>7091</v>
      </c>
      <c r="F1757" s="1">
        <v>27395</v>
      </c>
      <c r="G1757" t="s">
        <v>7256</v>
      </c>
      <c r="H1757" t="s">
        <v>16</v>
      </c>
      <c r="I1757" t="s">
        <v>7257</v>
      </c>
      <c r="J1757">
        <v>181.11500000000001</v>
      </c>
      <c r="K1757" t="s">
        <v>7258</v>
      </c>
      <c r="L1757" t="s">
        <v>20</v>
      </c>
      <c r="M1757" t="s">
        <v>7259</v>
      </c>
    </row>
    <row r="1758" spans="1:13" x14ac:dyDescent="0.25">
      <c r="A1758">
        <v>6534001</v>
      </c>
      <c r="B1758" t="s">
        <v>7260</v>
      </c>
      <c r="C1758" t="str">
        <f>"9780472072064"</f>
        <v>9780472072064</v>
      </c>
      <c r="D1758" t="str">
        <f>"9780472029914"</f>
        <v>9780472029914</v>
      </c>
      <c r="E1758" t="s">
        <v>6708</v>
      </c>
      <c r="F1758" s="1">
        <v>41575</v>
      </c>
      <c r="G1758" t="s">
        <v>7261</v>
      </c>
      <c r="H1758" t="s">
        <v>1229</v>
      </c>
      <c r="I1758" t="s">
        <v>7262</v>
      </c>
      <c r="J1758" t="s">
        <v>7263</v>
      </c>
      <c r="K1758" t="s">
        <v>7264</v>
      </c>
      <c r="L1758" t="s">
        <v>20</v>
      </c>
      <c r="M1758" t="s">
        <v>7265</v>
      </c>
    </row>
    <row r="1759" spans="1:13" x14ac:dyDescent="0.25">
      <c r="A1759">
        <v>6534003</v>
      </c>
      <c r="B1759" t="s">
        <v>7266</v>
      </c>
      <c r="C1759" t="str">
        <f>"9780892640096"</f>
        <v>9780892640096</v>
      </c>
      <c r="D1759" t="str">
        <f>"9780472902200"</f>
        <v>9780472902200</v>
      </c>
      <c r="E1759" t="s">
        <v>7091</v>
      </c>
      <c r="F1759" s="1">
        <v>29616</v>
      </c>
      <c r="G1759" t="s">
        <v>7267</v>
      </c>
      <c r="H1759" t="s">
        <v>2368</v>
      </c>
      <c r="J1759">
        <v>330.95105000000001</v>
      </c>
      <c r="L1759" t="s">
        <v>20</v>
      </c>
      <c r="M1759" t="s">
        <v>7268</v>
      </c>
    </row>
    <row r="1760" spans="1:13" x14ac:dyDescent="0.25">
      <c r="A1760">
        <v>6534004</v>
      </c>
      <c r="B1760" t="s">
        <v>7269</v>
      </c>
      <c r="C1760" t="str">
        <f>"9780472118786"</f>
        <v>9780472118786</v>
      </c>
      <c r="D1760" t="str">
        <f>"9780472900275"</f>
        <v>9780472900275</v>
      </c>
      <c r="E1760" t="s">
        <v>6708</v>
      </c>
      <c r="F1760" s="1">
        <v>41376</v>
      </c>
      <c r="G1760" t="s">
        <v>7270</v>
      </c>
      <c r="H1760" t="s">
        <v>1229</v>
      </c>
      <c r="I1760" t="s">
        <v>7262</v>
      </c>
      <c r="J1760">
        <v>907.85</v>
      </c>
      <c r="L1760" t="s">
        <v>20</v>
      </c>
      <c r="M1760" t="s">
        <v>7271</v>
      </c>
    </row>
    <row r="1761" spans="1:13" x14ac:dyDescent="0.25">
      <c r="A1761">
        <v>6534005</v>
      </c>
      <c r="B1761" t="s">
        <v>7272</v>
      </c>
      <c r="C1761" t="str">
        <f>"9780939512218"</f>
        <v>9780939512218</v>
      </c>
      <c r="D1761" t="str">
        <f>"9780472902064"</f>
        <v>9780472902064</v>
      </c>
      <c r="E1761" t="s">
        <v>7076</v>
      </c>
      <c r="F1761" s="1">
        <v>30682</v>
      </c>
      <c r="G1761" t="s">
        <v>7273</v>
      </c>
      <c r="H1761" t="s">
        <v>1753</v>
      </c>
      <c r="I1761" t="s">
        <v>7274</v>
      </c>
      <c r="L1761" t="s">
        <v>20</v>
      </c>
      <c r="M1761" t="s">
        <v>7275</v>
      </c>
    </row>
    <row r="1762" spans="1:13" x14ac:dyDescent="0.25">
      <c r="A1762">
        <v>6534006</v>
      </c>
      <c r="B1762" t="s">
        <v>7276</v>
      </c>
      <c r="C1762" t="str">
        <f>"9780939512188"</f>
        <v>9780939512188</v>
      </c>
      <c r="D1762" t="str">
        <f>"9780472902019"</f>
        <v>9780472902019</v>
      </c>
      <c r="E1762" t="s">
        <v>7076</v>
      </c>
      <c r="F1762" s="1">
        <v>31048</v>
      </c>
      <c r="G1762" t="s">
        <v>7277</v>
      </c>
      <c r="H1762" t="s">
        <v>70</v>
      </c>
      <c r="I1762" t="s">
        <v>7278</v>
      </c>
      <c r="L1762" t="s">
        <v>20</v>
      </c>
      <c r="M1762" t="s">
        <v>7279</v>
      </c>
    </row>
    <row r="1763" spans="1:13" x14ac:dyDescent="0.25">
      <c r="A1763">
        <v>6534007</v>
      </c>
      <c r="B1763" t="s">
        <v>7280</v>
      </c>
      <c r="C1763" t="str">
        <f>"9780472070992"</f>
        <v>9780472070992</v>
      </c>
      <c r="D1763" t="str">
        <f>"9780472900404"</f>
        <v>9780472900404</v>
      </c>
      <c r="E1763" t="s">
        <v>6708</v>
      </c>
      <c r="F1763" s="1">
        <v>40360</v>
      </c>
      <c r="G1763" t="s">
        <v>7281</v>
      </c>
      <c r="H1763" t="s">
        <v>70</v>
      </c>
      <c r="I1763" t="s">
        <v>7282</v>
      </c>
      <c r="J1763">
        <v>811.50900000000001</v>
      </c>
      <c r="K1763" t="s">
        <v>7283</v>
      </c>
      <c r="L1763" t="s">
        <v>20</v>
      </c>
      <c r="M1763" t="s">
        <v>7284</v>
      </c>
    </row>
    <row r="1764" spans="1:13" x14ac:dyDescent="0.25">
      <c r="A1764">
        <v>6534010</v>
      </c>
      <c r="B1764" t="s">
        <v>7285</v>
      </c>
      <c r="C1764" t="str">
        <f>"9780472119769"</f>
        <v>9780472119769</v>
      </c>
      <c r="D1764" t="str">
        <f>"9780472900640"</f>
        <v>9780472900640</v>
      </c>
      <c r="E1764" t="s">
        <v>6708</v>
      </c>
      <c r="F1764" s="1">
        <v>42500</v>
      </c>
      <c r="G1764" t="s">
        <v>7286</v>
      </c>
      <c r="H1764" t="s">
        <v>239</v>
      </c>
      <c r="I1764" t="s">
        <v>7287</v>
      </c>
      <c r="J1764">
        <v>345.73027400000001</v>
      </c>
      <c r="K1764" t="s">
        <v>7288</v>
      </c>
      <c r="L1764" t="s">
        <v>20</v>
      </c>
      <c r="M1764" t="s">
        <v>7289</v>
      </c>
    </row>
    <row r="1765" spans="1:13" x14ac:dyDescent="0.25">
      <c r="A1765">
        <v>6534012</v>
      </c>
      <c r="B1765" t="s">
        <v>7290</v>
      </c>
      <c r="C1765" t="str">
        <f>"9780472072439"</f>
        <v>9780472072439</v>
      </c>
      <c r="D1765" t="str">
        <f>"9780472900152"</f>
        <v>9780472900152</v>
      </c>
      <c r="E1765" t="s">
        <v>6708</v>
      </c>
      <c r="F1765" s="1">
        <v>41995</v>
      </c>
      <c r="G1765" t="s">
        <v>7291</v>
      </c>
      <c r="H1765" t="s">
        <v>64</v>
      </c>
      <c r="I1765" t="s">
        <v>7292</v>
      </c>
      <c r="J1765">
        <v>302.23</v>
      </c>
      <c r="K1765" t="s">
        <v>7293</v>
      </c>
      <c r="L1765" t="s">
        <v>20</v>
      </c>
      <c r="M1765" t="s">
        <v>7294</v>
      </c>
    </row>
    <row r="1766" spans="1:13" x14ac:dyDescent="0.25">
      <c r="A1766">
        <v>6534013</v>
      </c>
      <c r="B1766" t="s">
        <v>7295</v>
      </c>
      <c r="C1766" t="str">
        <f>"9780472072699"</f>
        <v>9780472072699</v>
      </c>
      <c r="D1766" t="str">
        <f>"9780472900107"</f>
        <v>9780472900107</v>
      </c>
      <c r="E1766" t="s">
        <v>6708</v>
      </c>
      <c r="F1766" s="1">
        <v>42243</v>
      </c>
      <c r="G1766" t="s">
        <v>7296</v>
      </c>
      <c r="H1766" t="s">
        <v>3948</v>
      </c>
      <c r="I1766" t="s">
        <v>7297</v>
      </c>
      <c r="J1766">
        <v>794.8</v>
      </c>
      <c r="K1766" t="s">
        <v>7298</v>
      </c>
      <c r="L1766" t="s">
        <v>20</v>
      </c>
      <c r="M1766" t="s">
        <v>7299</v>
      </c>
    </row>
    <row r="1767" spans="1:13" x14ac:dyDescent="0.25">
      <c r="A1767">
        <v>6536801</v>
      </c>
      <c r="B1767" t="s">
        <v>7300</v>
      </c>
      <c r="C1767" t="str">
        <f>"9783030465896"</f>
        <v>9783030465896</v>
      </c>
      <c r="D1767" t="str">
        <f>"9783030465902"</f>
        <v>9783030465902</v>
      </c>
      <c r="E1767" t="s">
        <v>2905</v>
      </c>
      <c r="F1767" s="1">
        <v>44293</v>
      </c>
      <c r="G1767" t="s">
        <v>7301</v>
      </c>
      <c r="H1767" t="s">
        <v>7302</v>
      </c>
      <c r="I1767" t="s">
        <v>5033</v>
      </c>
      <c r="J1767">
        <v>330.9600112</v>
      </c>
      <c r="L1767" t="s">
        <v>20</v>
      </c>
      <c r="M1767" t="s">
        <v>7303</v>
      </c>
    </row>
    <row r="1768" spans="1:13" x14ac:dyDescent="0.25">
      <c r="A1768">
        <v>6536816</v>
      </c>
      <c r="B1768" t="s">
        <v>7304</v>
      </c>
      <c r="C1768" t="str">
        <f>"9783030654382"</f>
        <v>9783030654382</v>
      </c>
      <c r="D1768" t="str">
        <f>"9783030654399"</f>
        <v>9783030654399</v>
      </c>
      <c r="E1768" t="s">
        <v>2905</v>
      </c>
      <c r="F1768" s="1">
        <v>44293</v>
      </c>
      <c r="G1768" t="s">
        <v>7305</v>
      </c>
      <c r="H1768" t="s">
        <v>120</v>
      </c>
      <c r="I1768" t="s">
        <v>2908</v>
      </c>
      <c r="J1768">
        <v>327.06</v>
      </c>
      <c r="L1768" t="s">
        <v>20</v>
      </c>
      <c r="M1768" t="s">
        <v>7306</v>
      </c>
    </row>
    <row r="1769" spans="1:13" x14ac:dyDescent="0.25">
      <c r="A1769">
        <v>6536817</v>
      </c>
      <c r="B1769" t="s">
        <v>7307</v>
      </c>
      <c r="C1769" t="str">
        <f>"9783658328719"</f>
        <v>9783658328719</v>
      </c>
      <c r="D1769" t="str">
        <f>"9783658328726"</f>
        <v>9783658328726</v>
      </c>
      <c r="E1769" t="s">
        <v>4472</v>
      </c>
      <c r="F1769" s="1">
        <v>44293</v>
      </c>
      <c r="G1769" t="s">
        <v>7308</v>
      </c>
      <c r="H1769" t="s">
        <v>64</v>
      </c>
      <c r="I1769" t="s">
        <v>7309</v>
      </c>
      <c r="L1769" t="s">
        <v>291</v>
      </c>
      <c r="M1769" t="s">
        <v>7310</v>
      </c>
    </row>
    <row r="1770" spans="1:13" x14ac:dyDescent="0.25">
      <c r="A1770">
        <v>6536818</v>
      </c>
      <c r="B1770" t="s">
        <v>7311</v>
      </c>
      <c r="C1770" t="str">
        <f>"9789811589829"</f>
        <v>9789811589829</v>
      </c>
      <c r="D1770" t="str">
        <f>"9789811589836"</f>
        <v>9789811589836</v>
      </c>
      <c r="E1770" t="s">
        <v>4099</v>
      </c>
      <c r="F1770" s="1">
        <v>44293</v>
      </c>
      <c r="G1770" t="s">
        <v>7312</v>
      </c>
      <c r="H1770" t="s">
        <v>64</v>
      </c>
      <c r="I1770" t="s">
        <v>4239</v>
      </c>
      <c r="J1770">
        <v>307.76</v>
      </c>
      <c r="L1770" t="s">
        <v>20</v>
      </c>
      <c r="M1770" t="s">
        <v>7313</v>
      </c>
    </row>
    <row r="1771" spans="1:13" x14ac:dyDescent="0.25">
      <c r="A1771">
        <v>6536820</v>
      </c>
      <c r="B1771" t="s">
        <v>7314</v>
      </c>
      <c r="C1771" t="str">
        <f>"9783030631307"</f>
        <v>9783030631307</v>
      </c>
      <c r="D1771" t="str">
        <f>"9783030631314"</f>
        <v>9783030631314</v>
      </c>
      <c r="E1771" t="s">
        <v>2905</v>
      </c>
      <c r="F1771" s="1">
        <v>44293</v>
      </c>
      <c r="G1771" t="s">
        <v>7315</v>
      </c>
      <c r="H1771" t="s">
        <v>64</v>
      </c>
      <c r="I1771" t="s">
        <v>4102</v>
      </c>
      <c r="L1771" t="s">
        <v>20</v>
      </c>
      <c r="M1771" t="s">
        <v>7316</v>
      </c>
    </row>
    <row r="1772" spans="1:13" x14ac:dyDescent="0.25">
      <c r="A1772">
        <v>6536823</v>
      </c>
      <c r="B1772" t="s">
        <v>7317</v>
      </c>
      <c r="C1772" t="str">
        <f>"9783030677572"</f>
        <v>9783030677572</v>
      </c>
      <c r="D1772" t="str">
        <f>"9783030677589"</f>
        <v>9783030677589</v>
      </c>
      <c r="E1772" t="s">
        <v>2905</v>
      </c>
      <c r="F1772" s="1">
        <v>44293</v>
      </c>
      <c r="G1772" t="s">
        <v>7318</v>
      </c>
      <c r="H1772" t="s">
        <v>30</v>
      </c>
      <c r="I1772" t="s">
        <v>6546</v>
      </c>
      <c r="J1772">
        <v>327.17209595999998</v>
      </c>
      <c r="L1772" t="s">
        <v>20</v>
      </c>
      <c r="M1772" t="s">
        <v>7319</v>
      </c>
    </row>
    <row r="1773" spans="1:13" x14ac:dyDescent="0.25">
      <c r="A1773">
        <v>6543729</v>
      </c>
      <c r="B1773" t="s">
        <v>7320</v>
      </c>
      <c r="C1773" t="str">
        <f>"9783030676148"</f>
        <v>9783030676148</v>
      </c>
      <c r="D1773" t="str">
        <f>"9783030676155"</f>
        <v>9783030676155</v>
      </c>
      <c r="E1773" t="s">
        <v>2905</v>
      </c>
      <c r="F1773" s="1">
        <v>44295</v>
      </c>
      <c r="G1773" t="s">
        <v>7321</v>
      </c>
      <c r="H1773" t="s">
        <v>30</v>
      </c>
      <c r="I1773" t="s">
        <v>4676</v>
      </c>
      <c r="L1773" t="s">
        <v>20</v>
      </c>
      <c r="M1773" t="s">
        <v>7322</v>
      </c>
    </row>
    <row r="1774" spans="1:13" x14ac:dyDescent="0.25">
      <c r="A1774">
        <v>6543744</v>
      </c>
      <c r="B1774" t="s">
        <v>7323</v>
      </c>
      <c r="C1774" t="str">
        <f>"9783030672805"</f>
        <v>9783030672805</v>
      </c>
      <c r="D1774" t="str">
        <f>"9783030672812"</f>
        <v>9783030672812</v>
      </c>
      <c r="E1774" t="s">
        <v>2905</v>
      </c>
      <c r="F1774" s="1">
        <v>44295</v>
      </c>
      <c r="G1774" t="s">
        <v>7324</v>
      </c>
      <c r="H1774" t="s">
        <v>30</v>
      </c>
      <c r="I1774" t="s">
        <v>4676</v>
      </c>
      <c r="L1774" t="s">
        <v>20</v>
      </c>
      <c r="M1774" t="s">
        <v>7325</v>
      </c>
    </row>
    <row r="1775" spans="1:13" x14ac:dyDescent="0.25">
      <c r="A1775">
        <v>6543745</v>
      </c>
      <c r="B1775" t="s">
        <v>7326</v>
      </c>
      <c r="C1775" t="str">
        <f>"9783662623039"</f>
        <v>9783662623039</v>
      </c>
      <c r="D1775" t="str">
        <f>"9783662623046"</f>
        <v>9783662623046</v>
      </c>
      <c r="E1775" t="s">
        <v>4540</v>
      </c>
      <c r="F1775" s="1">
        <v>44295</v>
      </c>
      <c r="G1775" t="s">
        <v>7327</v>
      </c>
      <c r="H1775" t="s">
        <v>239</v>
      </c>
      <c r="I1775" t="s">
        <v>5655</v>
      </c>
      <c r="L1775" t="s">
        <v>20</v>
      </c>
      <c r="M1775" t="s">
        <v>7328</v>
      </c>
    </row>
    <row r="1776" spans="1:13" x14ac:dyDescent="0.25">
      <c r="A1776">
        <v>6546237</v>
      </c>
      <c r="B1776" t="s">
        <v>7329</v>
      </c>
      <c r="C1776" t="str">
        <f>"9783662633533"</f>
        <v>9783662633533</v>
      </c>
      <c r="D1776" t="str">
        <f>"9783662633540"</f>
        <v>9783662633540</v>
      </c>
      <c r="E1776" t="s">
        <v>4540</v>
      </c>
      <c r="F1776" s="1">
        <v>44296</v>
      </c>
      <c r="G1776" t="s">
        <v>7330</v>
      </c>
      <c r="H1776" t="s">
        <v>5623</v>
      </c>
      <c r="I1776" t="s">
        <v>5419</v>
      </c>
      <c r="L1776" t="s">
        <v>291</v>
      </c>
      <c r="M1776" t="s">
        <v>7331</v>
      </c>
    </row>
    <row r="1777" spans="1:13" x14ac:dyDescent="0.25">
      <c r="A1777">
        <v>6548800</v>
      </c>
      <c r="B1777" t="s">
        <v>7332</v>
      </c>
      <c r="C1777" t="str">
        <f>"9789027208514"</f>
        <v>9789027208514</v>
      </c>
      <c r="D1777" t="str">
        <f>"9789027260079"</f>
        <v>9789027260079</v>
      </c>
      <c r="E1777" t="s">
        <v>1728</v>
      </c>
      <c r="F1777" s="1">
        <v>44312</v>
      </c>
      <c r="G1777" t="s">
        <v>7333</v>
      </c>
      <c r="H1777" t="s">
        <v>310</v>
      </c>
      <c r="I1777" t="s">
        <v>7334</v>
      </c>
      <c r="L1777" t="s">
        <v>291</v>
      </c>
      <c r="M1777" t="s">
        <v>7335</v>
      </c>
    </row>
    <row r="1778" spans="1:13" x14ac:dyDescent="0.25">
      <c r="A1778">
        <v>6550483</v>
      </c>
      <c r="B1778" t="s">
        <v>7336</v>
      </c>
      <c r="C1778" t="str">
        <f>"9783030712808"</f>
        <v>9783030712808</v>
      </c>
      <c r="D1778" t="str">
        <f>"9783030712815"</f>
        <v>9783030712815</v>
      </c>
      <c r="E1778" t="s">
        <v>2905</v>
      </c>
      <c r="F1778" s="1">
        <v>44299</v>
      </c>
      <c r="G1778" t="s">
        <v>5461</v>
      </c>
      <c r="H1778" t="s">
        <v>266</v>
      </c>
      <c r="I1778" t="s">
        <v>4699</v>
      </c>
      <c r="L1778" t="s">
        <v>20</v>
      </c>
      <c r="M1778" t="s">
        <v>7337</v>
      </c>
    </row>
    <row r="1779" spans="1:13" x14ac:dyDescent="0.25">
      <c r="A1779">
        <v>6551435</v>
      </c>
      <c r="B1779" t="s">
        <v>7338</v>
      </c>
      <c r="C1779" t="str">
        <f>"9781800641273"</f>
        <v>9781800641273</v>
      </c>
      <c r="D1779" t="str">
        <f>"9781800641280"</f>
        <v>9781800641280</v>
      </c>
      <c r="E1779" t="s">
        <v>2270</v>
      </c>
      <c r="F1779" s="1">
        <v>44286</v>
      </c>
      <c r="G1779" t="s">
        <v>7339</v>
      </c>
      <c r="H1779" t="s">
        <v>246</v>
      </c>
      <c r="L1779" t="s">
        <v>20</v>
      </c>
      <c r="M1779" t="s">
        <v>7340</v>
      </c>
    </row>
    <row r="1780" spans="1:13" x14ac:dyDescent="0.25">
      <c r="A1780">
        <v>6551436</v>
      </c>
      <c r="B1780" t="s">
        <v>7341</v>
      </c>
      <c r="C1780" t="str">
        <f>"9781800641655"</f>
        <v>9781800641655</v>
      </c>
      <c r="D1780" t="str">
        <f>"9781800641662"</f>
        <v>9781800641662</v>
      </c>
      <c r="E1780" t="s">
        <v>2270</v>
      </c>
      <c r="F1780" s="1">
        <v>44287</v>
      </c>
      <c r="G1780" t="s">
        <v>4434</v>
      </c>
      <c r="H1780" t="s">
        <v>4330</v>
      </c>
      <c r="L1780" t="s">
        <v>20</v>
      </c>
      <c r="M1780" t="s">
        <v>7342</v>
      </c>
    </row>
    <row r="1781" spans="1:13" x14ac:dyDescent="0.25">
      <c r="A1781">
        <v>6551437</v>
      </c>
      <c r="B1781" t="s">
        <v>7343</v>
      </c>
      <c r="C1781" t="str">
        <f>"9781800641143"</f>
        <v>9781800641143</v>
      </c>
      <c r="D1781" t="str">
        <f>"9781800641150"</f>
        <v>9781800641150</v>
      </c>
      <c r="E1781" t="s">
        <v>2270</v>
      </c>
      <c r="F1781" s="1">
        <v>44246</v>
      </c>
      <c r="G1781" t="s">
        <v>7344</v>
      </c>
      <c r="H1781" t="s">
        <v>246</v>
      </c>
      <c r="L1781" t="s">
        <v>20</v>
      </c>
      <c r="M1781" t="s">
        <v>7345</v>
      </c>
    </row>
    <row r="1782" spans="1:13" x14ac:dyDescent="0.25">
      <c r="A1782">
        <v>6551438</v>
      </c>
      <c r="B1782" t="s">
        <v>7346</v>
      </c>
      <c r="C1782" t="str">
        <f>"9781800641594"</f>
        <v>9781800641594</v>
      </c>
      <c r="D1782" t="str">
        <f>"9781800641600"</f>
        <v>9781800641600</v>
      </c>
      <c r="E1782" t="s">
        <v>2270</v>
      </c>
      <c r="F1782" s="1">
        <v>44286</v>
      </c>
      <c r="G1782" t="s">
        <v>7347</v>
      </c>
      <c r="H1782" t="s">
        <v>6727</v>
      </c>
      <c r="L1782" t="s">
        <v>20</v>
      </c>
      <c r="M1782" t="s">
        <v>7348</v>
      </c>
    </row>
    <row r="1783" spans="1:13" x14ac:dyDescent="0.25">
      <c r="A1783">
        <v>6552128</v>
      </c>
      <c r="B1783" t="s">
        <v>7349</v>
      </c>
      <c r="C1783" t="str">
        <f>"9789027208330"</f>
        <v>9789027208330</v>
      </c>
      <c r="D1783" t="str">
        <f>"9789027260246"</f>
        <v>9789027260246</v>
      </c>
      <c r="E1783" t="s">
        <v>1728</v>
      </c>
      <c r="F1783" s="1">
        <v>44309</v>
      </c>
      <c r="G1783" t="s">
        <v>7350</v>
      </c>
      <c r="H1783" t="s">
        <v>851</v>
      </c>
      <c r="I1783" t="s">
        <v>7351</v>
      </c>
      <c r="J1783">
        <v>492.8</v>
      </c>
      <c r="L1783" t="s">
        <v>20</v>
      </c>
      <c r="M1783" t="s">
        <v>7352</v>
      </c>
    </row>
    <row r="1784" spans="1:13" x14ac:dyDescent="0.25">
      <c r="A1784">
        <v>6563628</v>
      </c>
      <c r="B1784" t="s">
        <v>7353</v>
      </c>
      <c r="C1784" t="str">
        <f>"9789027208675"</f>
        <v>9789027208675</v>
      </c>
      <c r="D1784" t="str">
        <f>"9789027259929"</f>
        <v>9789027259929</v>
      </c>
      <c r="E1784" t="s">
        <v>1728</v>
      </c>
      <c r="F1784" s="1">
        <v>44326</v>
      </c>
      <c r="G1784" t="s">
        <v>7354</v>
      </c>
      <c r="H1784" t="s">
        <v>851</v>
      </c>
      <c r="J1784">
        <v>445</v>
      </c>
      <c r="L1784" t="s">
        <v>20</v>
      </c>
      <c r="M1784" t="s">
        <v>7355</v>
      </c>
    </row>
    <row r="1785" spans="1:13" x14ac:dyDescent="0.25">
      <c r="A1785">
        <v>6566901</v>
      </c>
      <c r="B1785" t="s">
        <v>7356</v>
      </c>
      <c r="C1785" t="str">
        <f>"9783030652869"</f>
        <v>9783030652869</v>
      </c>
      <c r="D1785" t="str">
        <f>"9783030652876"</f>
        <v>9783030652876</v>
      </c>
      <c r="E1785" t="s">
        <v>2905</v>
      </c>
      <c r="F1785" s="1">
        <v>44333</v>
      </c>
      <c r="G1785" t="s">
        <v>7357</v>
      </c>
      <c r="H1785" t="s">
        <v>169</v>
      </c>
      <c r="I1785" t="s">
        <v>7358</v>
      </c>
      <c r="J1785">
        <v>338.64209493999999</v>
      </c>
      <c r="L1785" t="s">
        <v>20</v>
      </c>
      <c r="M1785" t="s">
        <v>7359</v>
      </c>
    </row>
    <row r="1786" spans="1:13" x14ac:dyDescent="0.25">
      <c r="A1786">
        <v>6566902</v>
      </c>
      <c r="B1786" t="s">
        <v>7360</v>
      </c>
      <c r="C1786" t="str">
        <f>"9789813367333"</f>
        <v>9789813367333</v>
      </c>
      <c r="D1786" t="str">
        <f>"9789813367340"</f>
        <v>9789813367340</v>
      </c>
      <c r="E1786" t="s">
        <v>4099</v>
      </c>
      <c r="F1786" s="1">
        <v>44308</v>
      </c>
      <c r="G1786" t="s">
        <v>7361</v>
      </c>
      <c r="H1786" t="s">
        <v>4915</v>
      </c>
      <c r="I1786" t="s">
        <v>5754</v>
      </c>
      <c r="L1786" t="s">
        <v>20</v>
      </c>
      <c r="M1786" t="s">
        <v>7362</v>
      </c>
    </row>
    <row r="1787" spans="1:13" x14ac:dyDescent="0.25">
      <c r="A1787">
        <v>6566903</v>
      </c>
      <c r="B1787" t="s">
        <v>7363</v>
      </c>
      <c r="C1787" t="str">
        <f>"9783030697273"</f>
        <v>9783030697273</v>
      </c>
      <c r="D1787" t="str">
        <f>"9783030697280"</f>
        <v>9783030697280</v>
      </c>
      <c r="E1787" t="s">
        <v>2905</v>
      </c>
      <c r="F1787" s="1">
        <v>44308</v>
      </c>
      <c r="G1787" t="s">
        <v>7364</v>
      </c>
      <c r="H1787" t="s">
        <v>64</v>
      </c>
      <c r="I1787" t="s">
        <v>5268</v>
      </c>
      <c r="J1787">
        <v>362.73</v>
      </c>
      <c r="L1787" t="s">
        <v>20</v>
      </c>
      <c r="M1787" t="s">
        <v>7365</v>
      </c>
    </row>
    <row r="1788" spans="1:13" x14ac:dyDescent="0.25">
      <c r="A1788">
        <v>6566915</v>
      </c>
      <c r="B1788" t="s">
        <v>7366</v>
      </c>
      <c r="C1788" t="str">
        <f>"9783030662998"</f>
        <v>9783030662998</v>
      </c>
      <c r="D1788" t="str">
        <f>"9783030663001"</f>
        <v>9783030663001</v>
      </c>
      <c r="E1788" t="s">
        <v>2905</v>
      </c>
      <c r="F1788" s="1">
        <v>44308</v>
      </c>
      <c r="G1788" t="s">
        <v>7367</v>
      </c>
      <c r="H1788" t="s">
        <v>4915</v>
      </c>
      <c r="I1788" t="s">
        <v>7368</v>
      </c>
      <c r="L1788" t="s">
        <v>20</v>
      </c>
      <c r="M1788" t="s">
        <v>7369</v>
      </c>
    </row>
    <row r="1789" spans="1:13" x14ac:dyDescent="0.25">
      <c r="A1789">
        <v>6566965</v>
      </c>
      <c r="B1789" t="s">
        <v>7370</v>
      </c>
      <c r="C1789" t="str">
        <f>"9783030650667"</f>
        <v>9783030650667</v>
      </c>
      <c r="D1789" t="str">
        <f>"9783030650674"</f>
        <v>9783030650674</v>
      </c>
      <c r="E1789" t="s">
        <v>2905</v>
      </c>
      <c r="F1789" s="1">
        <v>44308</v>
      </c>
      <c r="G1789" t="s">
        <v>7371</v>
      </c>
      <c r="H1789" t="s">
        <v>24</v>
      </c>
      <c r="I1789" t="s">
        <v>4753</v>
      </c>
      <c r="J1789">
        <v>303.39999999999998</v>
      </c>
      <c r="L1789" t="s">
        <v>20</v>
      </c>
      <c r="M1789" t="s">
        <v>7372</v>
      </c>
    </row>
    <row r="1790" spans="1:13" x14ac:dyDescent="0.25">
      <c r="A1790">
        <v>6566991</v>
      </c>
      <c r="B1790" t="s">
        <v>7373</v>
      </c>
      <c r="C1790" t="str">
        <f>"9783030673444"</f>
        <v>9783030673444</v>
      </c>
      <c r="D1790" t="str">
        <f>"9783030673451"</f>
        <v>9783030673451</v>
      </c>
      <c r="E1790" t="s">
        <v>2905</v>
      </c>
      <c r="F1790" s="1">
        <v>44308</v>
      </c>
      <c r="G1790" t="s">
        <v>7374</v>
      </c>
      <c r="H1790" t="s">
        <v>64</v>
      </c>
      <c r="I1790" t="s">
        <v>2908</v>
      </c>
      <c r="L1790" t="s">
        <v>20</v>
      </c>
      <c r="M1790" t="s">
        <v>7375</v>
      </c>
    </row>
    <row r="1791" spans="1:13" x14ac:dyDescent="0.25">
      <c r="A1791">
        <v>6567002</v>
      </c>
      <c r="B1791" t="s">
        <v>7376</v>
      </c>
      <c r="C1791" t="str">
        <f>"9789813367609"</f>
        <v>9789813367609</v>
      </c>
      <c r="D1791" t="str">
        <f>"9789813367616"</f>
        <v>9789813367616</v>
      </c>
      <c r="E1791" t="s">
        <v>4099</v>
      </c>
      <c r="F1791" s="1">
        <v>44309</v>
      </c>
      <c r="G1791" t="s">
        <v>7377</v>
      </c>
      <c r="H1791" t="s">
        <v>83</v>
      </c>
      <c r="I1791" t="s">
        <v>4537</v>
      </c>
      <c r="L1791" t="s">
        <v>20</v>
      </c>
      <c r="M1791" t="s">
        <v>7378</v>
      </c>
    </row>
    <row r="1792" spans="1:13" x14ac:dyDescent="0.25">
      <c r="A1792">
        <v>6567006</v>
      </c>
      <c r="B1792" t="s">
        <v>7379</v>
      </c>
      <c r="C1792" t="str">
        <f>"9783030684136"</f>
        <v>9783030684136</v>
      </c>
      <c r="D1792" t="str">
        <f>"9783030684143"</f>
        <v>9783030684143</v>
      </c>
      <c r="E1792" t="s">
        <v>2905</v>
      </c>
      <c r="F1792" s="1">
        <v>44309</v>
      </c>
      <c r="G1792" t="s">
        <v>7380</v>
      </c>
      <c r="H1792" t="s">
        <v>30</v>
      </c>
      <c r="I1792" t="s">
        <v>4676</v>
      </c>
      <c r="L1792" t="s">
        <v>20</v>
      </c>
      <c r="M1792" t="s">
        <v>7381</v>
      </c>
    </row>
    <row r="1793" spans="1:13" x14ac:dyDescent="0.25">
      <c r="A1793">
        <v>6567013</v>
      </c>
      <c r="B1793" t="s">
        <v>7382</v>
      </c>
      <c r="C1793" t="str">
        <f>"9783030650018"</f>
        <v>9783030650018</v>
      </c>
      <c r="D1793" t="str">
        <f>"9783030650025"</f>
        <v>9783030650025</v>
      </c>
      <c r="E1793" t="s">
        <v>2905</v>
      </c>
      <c r="F1793" s="1">
        <v>44308</v>
      </c>
      <c r="G1793" t="s">
        <v>7383</v>
      </c>
      <c r="H1793" t="s">
        <v>363</v>
      </c>
      <c r="I1793" t="s">
        <v>7384</v>
      </c>
      <c r="L1793" t="s">
        <v>20</v>
      </c>
      <c r="M1793" t="s">
        <v>7385</v>
      </c>
    </row>
    <row r="1794" spans="1:13" x14ac:dyDescent="0.25">
      <c r="A1794">
        <v>6567016</v>
      </c>
      <c r="B1794" t="s">
        <v>7386</v>
      </c>
      <c r="C1794" t="str">
        <f>"9783030565848"</f>
        <v>9783030565848</v>
      </c>
      <c r="D1794" t="str">
        <f>"9783030565855"</f>
        <v>9783030565855</v>
      </c>
      <c r="E1794" t="s">
        <v>2905</v>
      </c>
      <c r="F1794" s="1">
        <v>44309</v>
      </c>
      <c r="G1794" t="s">
        <v>7387</v>
      </c>
      <c r="H1794" t="s">
        <v>64</v>
      </c>
      <c r="I1794" t="s">
        <v>4623</v>
      </c>
      <c r="J1794">
        <v>304.80918220000001</v>
      </c>
      <c r="L1794" t="s">
        <v>20</v>
      </c>
      <c r="M1794" t="s">
        <v>7388</v>
      </c>
    </row>
    <row r="1795" spans="1:13" x14ac:dyDescent="0.25">
      <c r="A1795">
        <v>6567037</v>
      </c>
      <c r="B1795" t="s">
        <v>7389</v>
      </c>
      <c r="C1795" t="str">
        <f>"9783030672836"</f>
        <v>9783030672836</v>
      </c>
      <c r="D1795" t="str">
        <f>"9783030672843"</f>
        <v>9783030672843</v>
      </c>
      <c r="E1795" t="s">
        <v>2905</v>
      </c>
      <c r="F1795" s="1">
        <v>44308</v>
      </c>
      <c r="G1795" t="s">
        <v>7390</v>
      </c>
      <c r="H1795" t="s">
        <v>30</v>
      </c>
      <c r="I1795" t="s">
        <v>4676</v>
      </c>
      <c r="L1795" t="s">
        <v>20</v>
      </c>
      <c r="M1795" t="s">
        <v>7391</v>
      </c>
    </row>
    <row r="1796" spans="1:13" x14ac:dyDescent="0.25">
      <c r="A1796">
        <v>6567083</v>
      </c>
      <c r="B1796" t="s">
        <v>7392</v>
      </c>
      <c r="C1796" t="str">
        <f>"9783030658427"</f>
        <v>9783030658427</v>
      </c>
      <c r="D1796" t="str">
        <f>"9783030658434"</f>
        <v>9783030658434</v>
      </c>
      <c r="E1796" t="s">
        <v>2905</v>
      </c>
      <c r="F1796" s="1">
        <v>44308</v>
      </c>
      <c r="G1796" t="s">
        <v>7393</v>
      </c>
      <c r="H1796" t="s">
        <v>7394</v>
      </c>
      <c r="I1796" t="s">
        <v>7395</v>
      </c>
      <c r="J1796">
        <v>629.22929999999997</v>
      </c>
      <c r="L1796" t="s">
        <v>20</v>
      </c>
      <c r="M1796" t="s">
        <v>7396</v>
      </c>
    </row>
    <row r="1797" spans="1:13" x14ac:dyDescent="0.25">
      <c r="A1797">
        <v>6567088</v>
      </c>
      <c r="B1797" t="s">
        <v>7397</v>
      </c>
      <c r="C1797" t="str">
        <f>"9783030705657"</f>
        <v>9783030705657</v>
      </c>
      <c r="D1797" t="str">
        <f>"9783030705664"</f>
        <v>9783030705664</v>
      </c>
      <c r="E1797" t="s">
        <v>2905</v>
      </c>
      <c r="F1797" s="1">
        <v>44308</v>
      </c>
      <c r="G1797" t="s">
        <v>7398</v>
      </c>
      <c r="H1797" t="s">
        <v>4915</v>
      </c>
      <c r="I1797" t="s">
        <v>4495</v>
      </c>
      <c r="L1797" t="s">
        <v>20</v>
      </c>
      <c r="M1797" t="s">
        <v>7399</v>
      </c>
    </row>
    <row r="1798" spans="1:13" x14ac:dyDescent="0.25">
      <c r="A1798">
        <v>6568304</v>
      </c>
      <c r="B1798" t="s">
        <v>7400</v>
      </c>
      <c r="C1798" t="str">
        <f>"9783030574253"</f>
        <v>9783030574253</v>
      </c>
      <c r="D1798" t="str">
        <f>"9783030574260"</f>
        <v>9783030574260</v>
      </c>
      <c r="E1798" t="s">
        <v>2905</v>
      </c>
      <c r="F1798" s="1">
        <v>44310</v>
      </c>
      <c r="G1798" t="s">
        <v>7401</v>
      </c>
      <c r="H1798" t="s">
        <v>64</v>
      </c>
      <c r="I1798" t="s">
        <v>2908</v>
      </c>
      <c r="L1798" t="s">
        <v>20</v>
      </c>
      <c r="M1798" t="s">
        <v>7402</v>
      </c>
    </row>
    <row r="1799" spans="1:13" x14ac:dyDescent="0.25">
      <c r="A1799">
        <v>6568318</v>
      </c>
      <c r="B1799" t="s">
        <v>7403</v>
      </c>
      <c r="C1799" t="str">
        <f>"9783030666606"</f>
        <v>9783030666606</v>
      </c>
      <c r="D1799" t="str">
        <f>"9783030666613"</f>
        <v>9783030666613</v>
      </c>
      <c r="E1799" t="s">
        <v>2905</v>
      </c>
      <c r="F1799" s="1">
        <v>44271</v>
      </c>
      <c r="G1799" t="s">
        <v>7404</v>
      </c>
      <c r="H1799" t="s">
        <v>712</v>
      </c>
      <c r="I1799" t="s">
        <v>6117</v>
      </c>
      <c r="L1799" t="s">
        <v>20</v>
      </c>
      <c r="M1799" t="s">
        <v>7405</v>
      </c>
    </row>
    <row r="1800" spans="1:13" x14ac:dyDescent="0.25">
      <c r="A1800">
        <v>6571537</v>
      </c>
      <c r="B1800" t="s">
        <v>7406</v>
      </c>
      <c r="C1800" t="str">
        <f>"9789633863213"</f>
        <v>9789633863213</v>
      </c>
      <c r="D1800" t="str">
        <f>"9789633863220"</f>
        <v>9789633863220</v>
      </c>
      <c r="E1800" t="s">
        <v>2263</v>
      </c>
      <c r="F1800" s="1">
        <v>43862</v>
      </c>
      <c r="G1800" t="s">
        <v>7407</v>
      </c>
      <c r="H1800" t="s">
        <v>169</v>
      </c>
      <c r="L1800" t="s">
        <v>20</v>
      </c>
      <c r="M1800" t="s">
        <v>7408</v>
      </c>
    </row>
    <row r="1801" spans="1:13" x14ac:dyDescent="0.25">
      <c r="A1801">
        <v>6578004</v>
      </c>
      <c r="B1801" t="s">
        <v>7409</v>
      </c>
      <c r="C1801" t="str">
        <f>"9783030641702"</f>
        <v>9783030641702</v>
      </c>
      <c r="D1801" t="str">
        <f>"9783030641719"</f>
        <v>9783030641719</v>
      </c>
      <c r="E1801" t="s">
        <v>2905</v>
      </c>
      <c r="F1801" s="1">
        <v>44315</v>
      </c>
      <c r="G1801" t="s">
        <v>7410</v>
      </c>
      <c r="H1801" t="s">
        <v>2597</v>
      </c>
      <c r="I1801" t="s">
        <v>4560</v>
      </c>
      <c r="L1801" t="s">
        <v>20</v>
      </c>
      <c r="M1801" t="s">
        <v>7411</v>
      </c>
    </row>
    <row r="1802" spans="1:13" x14ac:dyDescent="0.25">
      <c r="A1802">
        <v>6578098</v>
      </c>
      <c r="B1802" t="s">
        <v>7412</v>
      </c>
      <c r="C1802" t="str">
        <f>""</f>
        <v/>
      </c>
      <c r="D1802" t="str">
        <f>"9782759232789"</f>
        <v>9782759232789</v>
      </c>
      <c r="E1802" t="s">
        <v>2434</v>
      </c>
      <c r="F1802" s="1">
        <v>44266</v>
      </c>
      <c r="G1802" t="s">
        <v>7413</v>
      </c>
      <c r="H1802" t="s">
        <v>7414</v>
      </c>
      <c r="L1802" t="s">
        <v>1279</v>
      </c>
      <c r="M1802" t="s">
        <v>7415</v>
      </c>
    </row>
    <row r="1803" spans="1:13" x14ac:dyDescent="0.25">
      <c r="A1803">
        <v>6578099</v>
      </c>
      <c r="B1803" t="s">
        <v>7416</v>
      </c>
      <c r="C1803" t="str">
        <f>""</f>
        <v/>
      </c>
      <c r="D1803" t="str">
        <f>"9782759232949"</f>
        <v>9782759232949</v>
      </c>
      <c r="E1803" t="s">
        <v>2434</v>
      </c>
      <c r="F1803" s="1">
        <v>44183</v>
      </c>
      <c r="G1803" t="s">
        <v>7417</v>
      </c>
      <c r="H1803" t="s">
        <v>5371</v>
      </c>
      <c r="L1803" t="s">
        <v>20</v>
      </c>
      <c r="M1803" t="s">
        <v>7418</v>
      </c>
    </row>
    <row r="1804" spans="1:13" x14ac:dyDescent="0.25">
      <c r="A1804">
        <v>6578102</v>
      </c>
      <c r="B1804" t="s">
        <v>7419</v>
      </c>
      <c r="C1804" t="str">
        <f>""</f>
        <v/>
      </c>
      <c r="D1804" t="str">
        <f>"9782759232826"</f>
        <v>9782759232826</v>
      </c>
      <c r="E1804" t="s">
        <v>2434</v>
      </c>
      <c r="F1804" s="1">
        <v>44183</v>
      </c>
      <c r="G1804" t="s">
        <v>7420</v>
      </c>
      <c r="H1804" t="s">
        <v>64</v>
      </c>
      <c r="L1804" t="s">
        <v>20</v>
      </c>
      <c r="M1804" t="s">
        <v>7421</v>
      </c>
    </row>
    <row r="1805" spans="1:13" x14ac:dyDescent="0.25">
      <c r="A1805">
        <v>6578533</v>
      </c>
      <c r="B1805" t="s">
        <v>7422</v>
      </c>
      <c r="C1805" t="str">
        <f>"9783030639150"</f>
        <v>9783030639150</v>
      </c>
      <c r="D1805" t="str">
        <f>"9783030639167"</f>
        <v>9783030639167</v>
      </c>
      <c r="E1805" t="s">
        <v>2905</v>
      </c>
      <c r="F1805" s="1">
        <v>44316</v>
      </c>
      <c r="G1805" t="s">
        <v>7423</v>
      </c>
      <c r="H1805" t="s">
        <v>5094</v>
      </c>
      <c r="I1805" t="s">
        <v>5624</v>
      </c>
      <c r="L1805" t="s">
        <v>20</v>
      </c>
      <c r="M1805" t="s">
        <v>7424</v>
      </c>
    </row>
    <row r="1806" spans="1:13" x14ac:dyDescent="0.25">
      <c r="A1806">
        <v>6578553</v>
      </c>
      <c r="B1806" t="s">
        <v>7425</v>
      </c>
      <c r="C1806" t="str">
        <f>"9783658337711"</f>
        <v>9783658337711</v>
      </c>
      <c r="D1806" t="str">
        <f>"9783658337728"</f>
        <v>9783658337728</v>
      </c>
      <c r="E1806" t="s">
        <v>4472</v>
      </c>
      <c r="F1806" s="1">
        <v>44316</v>
      </c>
      <c r="G1806" t="s">
        <v>7426</v>
      </c>
      <c r="H1806" t="s">
        <v>1753</v>
      </c>
      <c r="I1806" t="s">
        <v>7427</v>
      </c>
      <c r="L1806" t="s">
        <v>291</v>
      </c>
      <c r="M1806" t="s">
        <v>7428</v>
      </c>
    </row>
    <row r="1807" spans="1:13" x14ac:dyDescent="0.25">
      <c r="A1807">
        <v>6578564</v>
      </c>
      <c r="B1807" t="s">
        <v>7429</v>
      </c>
      <c r="C1807" t="str">
        <f>"9783030674977"</f>
        <v>9783030674977</v>
      </c>
      <c r="D1807" t="str">
        <f>"9783030674984"</f>
        <v>9783030674984</v>
      </c>
      <c r="E1807" t="s">
        <v>2905</v>
      </c>
      <c r="F1807" s="1">
        <v>44316</v>
      </c>
      <c r="G1807" t="s">
        <v>7430</v>
      </c>
      <c r="H1807" t="s">
        <v>30</v>
      </c>
      <c r="I1807" t="s">
        <v>4676</v>
      </c>
      <c r="L1807" t="s">
        <v>20</v>
      </c>
      <c r="M1807" t="s">
        <v>7431</v>
      </c>
    </row>
    <row r="1808" spans="1:13" x14ac:dyDescent="0.25">
      <c r="A1808">
        <v>6578583</v>
      </c>
      <c r="B1808" t="s">
        <v>7432</v>
      </c>
      <c r="C1808" t="str">
        <f>"9789811621703"</f>
        <v>9789811621703</v>
      </c>
      <c r="D1808" t="str">
        <f>"9789811621710"</f>
        <v>9789811621710</v>
      </c>
      <c r="E1808" t="s">
        <v>4099</v>
      </c>
      <c r="F1808" s="1">
        <v>44316</v>
      </c>
      <c r="G1808" t="s">
        <v>7433</v>
      </c>
      <c r="H1808" t="s">
        <v>2623</v>
      </c>
      <c r="I1808" t="s">
        <v>7434</v>
      </c>
      <c r="L1808" t="s">
        <v>20</v>
      </c>
      <c r="M1808" t="s">
        <v>7435</v>
      </c>
    </row>
    <row r="1809" spans="1:13" x14ac:dyDescent="0.25">
      <c r="A1809">
        <v>6578718</v>
      </c>
      <c r="B1809" t="s">
        <v>7436</v>
      </c>
      <c r="C1809" t="str">
        <f>"9783658330613"</f>
        <v>9783658330613</v>
      </c>
      <c r="D1809" t="str">
        <f>"9783658330620"</f>
        <v>9783658330620</v>
      </c>
      <c r="E1809" t="s">
        <v>4472</v>
      </c>
      <c r="F1809" s="1">
        <v>44393</v>
      </c>
      <c r="G1809" t="s">
        <v>7437</v>
      </c>
      <c r="H1809" t="s">
        <v>363</v>
      </c>
      <c r="I1809" t="s">
        <v>4507</v>
      </c>
      <c r="L1809" t="s">
        <v>291</v>
      </c>
      <c r="M1809" t="s">
        <v>7438</v>
      </c>
    </row>
    <row r="1810" spans="1:13" x14ac:dyDescent="0.25">
      <c r="A1810">
        <v>6578756</v>
      </c>
      <c r="B1810" t="s">
        <v>7439</v>
      </c>
      <c r="C1810" t="str">
        <f>"9783030635220"</f>
        <v>9783030635220</v>
      </c>
      <c r="D1810" t="str">
        <f>"9783030635237"</f>
        <v>9783030635237</v>
      </c>
      <c r="E1810" t="s">
        <v>2905</v>
      </c>
      <c r="F1810" s="1">
        <v>44316</v>
      </c>
      <c r="G1810" t="s">
        <v>7440</v>
      </c>
      <c r="H1810" t="s">
        <v>1283</v>
      </c>
      <c r="I1810" t="s">
        <v>7441</v>
      </c>
      <c r="L1810" t="s">
        <v>20</v>
      </c>
      <c r="M1810" t="s">
        <v>7442</v>
      </c>
    </row>
    <row r="1811" spans="1:13" x14ac:dyDescent="0.25">
      <c r="A1811">
        <v>6578762</v>
      </c>
      <c r="B1811" t="s">
        <v>7443</v>
      </c>
      <c r="C1811" t="str">
        <f>"9783658329235"</f>
        <v>9783658329235</v>
      </c>
      <c r="D1811" t="str">
        <f>"9783658329242"</f>
        <v>9783658329242</v>
      </c>
      <c r="E1811" t="s">
        <v>4472</v>
      </c>
      <c r="F1811" s="1">
        <v>44414</v>
      </c>
      <c r="G1811" t="s">
        <v>7444</v>
      </c>
      <c r="H1811" t="s">
        <v>83</v>
      </c>
      <c r="I1811" t="s">
        <v>4615</v>
      </c>
      <c r="L1811" t="s">
        <v>291</v>
      </c>
      <c r="M1811" t="s">
        <v>7445</v>
      </c>
    </row>
    <row r="1812" spans="1:13" x14ac:dyDescent="0.25">
      <c r="A1812">
        <v>6606016</v>
      </c>
      <c r="B1812" t="s">
        <v>7446</v>
      </c>
      <c r="C1812" t="str">
        <f>"9783030643072"</f>
        <v>9783030643072</v>
      </c>
      <c r="D1812" t="str">
        <f>"9783030643089"</f>
        <v>9783030643089</v>
      </c>
      <c r="E1812" t="s">
        <v>2905</v>
      </c>
      <c r="F1812" s="1">
        <v>44321</v>
      </c>
      <c r="G1812" t="s">
        <v>7447</v>
      </c>
      <c r="H1812" t="s">
        <v>1056</v>
      </c>
      <c r="I1812" t="s">
        <v>7448</v>
      </c>
      <c r="L1812" t="s">
        <v>20</v>
      </c>
      <c r="M1812" t="s">
        <v>7449</v>
      </c>
    </row>
    <row r="1813" spans="1:13" x14ac:dyDescent="0.25">
      <c r="A1813">
        <v>6606565</v>
      </c>
      <c r="B1813" t="s">
        <v>7450</v>
      </c>
      <c r="C1813" t="str">
        <f>"9783030627911"</f>
        <v>9783030627911</v>
      </c>
      <c r="D1813" t="str">
        <f>"9783030627928"</f>
        <v>9783030627928</v>
      </c>
      <c r="E1813" t="s">
        <v>2905</v>
      </c>
      <c r="F1813" s="1">
        <v>44322</v>
      </c>
      <c r="G1813" t="s">
        <v>7451</v>
      </c>
      <c r="H1813" t="s">
        <v>4180</v>
      </c>
      <c r="I1813" t="s">
        <v>5629</v>
      </c>
      <c r="L1813" t="s">
        <v>20</v>
      </c>
      <c r="M1813" t="s">
        <v>7452</v>
      </c>
    </row>
    <row r="1814" spans="1:13" x14ac:dyDescent="0.25">
      <c r="A1814">
        <v>6606566</v>
      </c>
      <c r="B1814" t="s">
        <v>7453</v>
      </c>
      <c r="C1814" t="str">
        <f>"9783030694104"</f>
        <v>9783030694104</v>
      </c>
      <c r="D1814" t="str">
        <f>"9783030694111"</f>
        <v>9783030694111</v>
      </c>
      <c r="E1814" t="s">
        <v>2905</v>
      </c>
      <c r="F1814" s="1">
        <v>44322</v>
      </c>
      <c r="G1814" t="s">
        <v>7454</v>
      </c>
      <c r="H1814" t="s">
        <v>7455</v>
      </c>
      <c r="I1814" t="s">
        <v>7456</v>
      </c>
      <c r="L1814" t="s">
        <v>20</v>
      </c>
      <c r="M1814" t="s">
        <v>7457</v>
      </c>
    </row>
    <row r="1815" spans="1:13" x14ac:dyDescent="0.25">
      <c r="A1815">
        <v>6606585</v>
      </c>
      <c r="B1815" t="s">
        <v>7458</v>
      </c>
      <c r="C1815" t="str">
        <f>"9783030665296"</f>
        <v>9783030665296</v>
      </c>
      <c r="D1815" t="str">
        <f>"9783030665302"</f>
        <v>9783030665302</v>
      </c>
      <c r="E1815" t="s">
        <v>2905</v>
      </c>
      <c r="F1815" s="1">
        <v>44322</v>
      </c>
      <c r="G1815" t="s">
        <v>7459</v>
      </c>
      <c r="H1815" t="s">
        <v>1283</v>
      </c>
      <c r="I1815" t="s">
        <v>4833</v>
      </c>
      <c r="J1815">
        <v>633.18232999999998</v>
      </c>
      <c r="L1815" t="s">
        <v>20</v>
      </c>
      <c r="M1815" t="s">
        <v>7460</v>
      </c>
    </row>
    <row r="1816" spans="1:13" x14ac:dyDescent="0.25">
      <c r="A1816">
        <v>6606589</v>
      </c>
      <c r="B1816" t="s">
        <v>7461</v>
      </c>
      <c r="C1816" t="str">
        <f>"9789813369030"</f>
        <v>9789813369030</v>
      </c>
      <c r="D1816" t="str">
        <f>"9789813369047"</f>
        <v>9789813369047</v>
      </c>
      <c r="E1816" t="s">
        <v>4099</v>
      </c>
      <c r="F1816" s="1">
        <v>44322</v>
      </c>
      <c r="G1816" t="s">
        <v>7462</v>
      </c>
      <c r="H1816" t="s">
        <v>1753</v>
      </c>
      <c r="I1816" t="s">
        <v>7463</v>
      </c>
      <c r="L1816" t="s">
        <v>20</v>
      </c>
      <c r="M1816" t="s">
        <v>7464</v>
      </c>
    </row>
    <row r="1817" spans="1:13" x14ac:dyDescent="0.25">
      <c r="A1817">
        <v>6607545</v>
      </c>
      <c r="B1817" t="s">
        <v>7465</v>
      </c>
      <c r="C1817" t="str">
        <f>"9783030703806"</f>
        <v>9783030703806</v>
      </c>
      <c r="D1817" t="str">
        <f>"9783030703813"</f>
        <v>9783030703813</v>
      </c>
      <c r="E1817" t="s">
        <v>2905</v>
      </c>
      <c r="F1817" s="1">
        <v>44324</v>
      </c>
      <c r="G1817" t="s">
        <v>7466</v>
      </c>
      <c r="H1817" t="s">
        <v>30</v>
      </c>
      <c r="I1817" t="s">
        <v>5108</v>
      </c>
      <c r="L1817" t="s">
        <v>20</v>
      </c>
      <c r="M1817" t="s">
        <v>7467</v>
      </c>
    </row>
    <row r="1818" spans="1:13" x14ac:dyDescent="0.25">
      <c r="A1818">
        <v>6607699</v>
      </c>
      <c r="B1818" t="s">
        <v>7468</v>
      </c>
      <c r="C1818" t="str">
        <f>"9783030705152"</f>
        <v>9783030705152</v>
      </c>
      <c r="D1818" t="str">
        <f>"9783030705169"</f>
        <v>9783030705169</v>
      </c>
      <c r="E1818" t="s">
        <v>2905</v>
      </c>
      <c r="F1818" s="1">
        <v>44325</v>
      </c>
      <c r="G1818" t="s">
        <v>7469</v>
      </c>
      <c r="H1818" t="s">
        <v>1753</v>
      </c>
      <c r="I1818" t="s">
        <v>4899</v>
      </c>
      <c r="J1818">
        <v>658.40380285629999</v>
      </c>
      <c r="L1818" t="s">
        <v>20</v>
      </c>
      <c r="M1818" t="s">
        <v>7470</v>
      </c>
    </row>
    <row r="1819" spans="1:13" x14ac:dyDescent="0.25">
      <c r="A1819">
        <v>6611767</v>
      </c>
      <c r="B1819" t="s">
        <v>7471</v>
      </c>
      <c r="C1819" t="str">
        <f>"9783030726799"</f>
        <v>9783030726799</v>
      </c>
      <c r="D1819" t="str">
        <f>"9783030726805"</f>
        <v>9783030726805</v>
      </c>
      <c r="E1819" t="s">
        <v>2905</v>
      </c>
      <c r="F1819" s="1">
        <v>44327</v>
      </c>
      <c r="G1819" t="s">
        <v>7472</v>
      </c>
      <c r="H1819" t="s">
        <v>30</v>
      </c>
      <c r="I1819" t="s">
        <v>5690</v>
      </c>
      <c r="J1819">
        <v>352.2</v>
      </c>
      <c r="L1819" t="s">
        <v>20</v>
      </c>
      <c r="M1819" t="s">
        <v>7473</v>
      </c>
    </row>
    <row r="1820" spans="1:13" x14ac:dyDescent="0.25">
      <c r="A1820">
        <v>6611769</v>
      </c>
      <c r="B1820" t="s">
        <v>7474</v>
      </c>
      <c r="C1820" t="str">
        <f>"9783030706913"</f>
        <v>9783030706913</v>
      </c>
      <c r="D1820" t="str">
        <f>"9783030706920"</f>
        <v>9783030706920</v>
      </c>
      <c r="E1820" t="s">
        <v>2905</v>
      </c>
      <c r="F1820" s="1">
        <v>44327</v>
      </c>
      <c r="G1820" t="s">
        <v>7475</v>
      </c>
      <c r="H1820" t="s">
        <v>30</v>
      </c>
      <c r="I1820" t="s">
        <v>5108</v>
      </c>
      <c r="J1820">
        <v>320.60000000000002</v>
      </c>
      <c r="L1820" t="s">
        <v>20</v>
      </c>
      <c r="M1820" t="s">
        <v>7476</v>
      </c>
    </row>
    <row r="1821" spans="1:13" x14ac:dyDescent="0.25">
      <c r="A1821">
        <v>6611784</v>
      </c>
      <c r="B1821" t="s">
        <v>7477</v>
      </c>
      <c r="C1821" t="str">
        <f>"9783030613891"</f>
        <v>9783030613891</v>
      </c>
      <c r="D1821" t="str">
        <f>"9783030613907"</f>
        <v>9783030613907</v>
      </c>
      <c r="E1821" t="s">
        <v>2905</v>
      </c>
      <c r="F1821" s="1">
        <v>44327</v>
      </c>
      <c r="G1821" t="s">
        <v>7478</v>
      </c>
      <c r="H1821" t="s">
        <v>30</v>
      </c>
      <c r="I1821" t="s">
        <v>4676</v>
      </c>
      <c r="L1821" t="s">
        <v>20</v>
      </c>
      <c r="M1821" t="s">
        <v>7479</v>
      </c>
    </row>
    <row r="1822" spans="1:13" x14ac:dyDescent="0.25">
      <c r="A1822">
        <v>6611787</v>
      </c>
      <c r="B1822" t="s">
        <v>7480</v>
      </c>
      <c r="C1822" t="str">
        <f>"9783030634520"</f>
        <v>9783030634520</v>
      </c>
      <c r="D1822" t="str">
        <f>"9783030634537"</f>
        <v>9783030634537</v>
      </c>
      <c r="E1822" t="s">
        <v>2905</v>
      </c>
      <c r="F1822" s="1">
        <v>44327</v>
      </c>
      <c r="G1822" t="s">
        <v>7481</v>
      </c>
      <c r="H1822" t="s">
        <v>266</v>
      </c>
      <c r="I1822" t="s">
        <v>7482</v>
      </c>
      <c r="L1822" t="s">
        <v>20</v>
      </c>
      <c r="M1822" t="s">
        <v>7483</v>
      </c>
    </row>
    <row r="1823" spans="1:13" x14ac:dyDescent="0.25">
      <c r="A1823">
        <v>6611801</v>
      </c>
      <c r="B1823" t="s">
        <v>7484</v>
      </c>
      <c r="C1823" t="str">
        <f>"9783030673642"</f>
        <v>9783030673642</v>
      </c>
      <c r="D1823" t="str">
        <f>"9783030673659"</f>
        <v>9783030673659</v>
      </c>
      <c r="E1823" t="s">
        <v>2905</v>
      </c>
      <c r="F1823" s="1">
        <v>44327</v>
      </c>
      <c r="G1823" t="s">
        <v>7485</v>
      </c>
      <c r="H1823" t="s">
        <v>30</v>
      </c>
      <c r="I1823" t="s">
        <v>4676</v>
      </c>
      <c r="L1823" t="s">
        <v>20</v>
      </c>
      <c r="M1823" t="s">
        <v>7486</v>
      </c>
    </row>
    <row r="1824" spans="1:13" x14ac:dyDescent="0.25">
      <c r="A1824">
        <v>6613021</v>
      </c>
      <c r="B1824" t="s">
        <v>7487</v>
      </c>
      <c r="C1824" t="str">
        <f>"9781800641556"</f>
        <v>9781800641556</v>
      </c>
      <c r="D1824" t="str">
        <f>"9781800641549"</f>
        <v>9781800641549</v>
      </c>
      <c r="E1824" t="s">
        <v>2270</v>
      </c>
      <c r="F1824" s="1">
        <v>44317</v>
      </c>
      <c r="G1824" t="s">
        <v>7488</v>
      </c>
      <c r="H1824" t="s">
        <v>3973</v>
      </c>
      <c r="L1824" t="s">
        <v>20</v>
      </c>
      <c r="M1824" t="s">
        <v>7489</v>
      </c>
    </row>
    <row r="1825" spans="1:13" x14ac:dyDescent="0.25">
      <c r="A1825">
        <v>6613022</v>
      </c>
      <c r="B1825" t="s">
        <v>7490</v>
      </c>
      <c r="C1825" t="str">
        <f>"9781800640993"</f>
        <v>9781800640993</v>
      </c>
      <c r="D1825" t="str">
        <f>"9781800641006"</f>
        <v>9781800641006</v>
      </c>
      <c r="E1825" t="s">
        <v>2270</v>
      </c>
      <c r="F1825" s="1">
        <v>44301</v>
      </c>
      <c r="G1825" t="s">
        <v>7491</v>
      </c>
      <c r="H1825" t="s">
        <v>7492</v>
      </c>
      <c r="L1825" t="s">
        <v>20</v>
      </c>
      <c r="M1825" t="s">
        <v>7493</v>
      </c>
    </row>
    <row r="1826" spans="1:13" x14ac:dyDescent="0.25">
      <c r="A1826">
        <v>6613023</v>
      </c>
      <c r="B1826" t="s">
        <v>7494</v>
      </c>
      <c r="C1826" t="str">
        <f>"9781783749942"</f>
        <v>9781783749942</v>
      </c>
      <c r="D1826" t="str">
        <f>"9781783749959"</f>
        <v>9781783749959</v>
      </c>
      <c r="E1826" t="s">
        <v>2270</v>
      </c>
      <c r="F1826" s="1">
        <v>44317</v>
      </c>
      <c r="G1826" t="s">
        <v>7495</v>
      </c>
      <c r="H1826" t="s">
        <v>4435</v>
      </c>
      <c r="L1826" t="s">
        <v>20</v>
      </c>
      <c r="M1826" t="s">
        <v>7496</v>
      </c>
    </row>
    <row r="1827" spans="1:13" x14ac:dyDescent="0.25">
      <c r="A1827">
        <v>6613024</v>
      </c>
      <c r="B1827" t="s">
        <v>7497</v>
      </c>
      <c r="C1827" t="str">
        <f>"9781783749621"</f>
        <v>9781783749621</v>
      </c>
      <c r="D1827" t="str">
        <f>"9781783749638"</f>
        <v>9781783749638</v>
      </c>
      <c r="E1827" t="s">
        <v>2270</v>
      </c>
      <c r="F1827" s="1">
        <v>44286</v>
      </c>
      <c r="G1827" t="s">
        <v>7498</v>
      </c>
      <c r="H1827" t="s">
        <v>7499</v>
      </c>
      <c r="L1827" t="s">
        <v>20</v>
      </c>
      <c r="M1827" t="s">
        <v>7500</v>
      </c>
    </row>
    <row r="1828" spans="1:13" x14ac:dyDescent="0.25">
      <c r="A1828">
        <v>6614548</v>
      </c>
      <c r="B1828" t="s">
        <v>7501</v>
      </c>
      <c r="C1828" t="str">
        <f>"9783030582500"</f>
        <v>9783030582500</v>
      </c>
      <c r="D1828" t="str">
        <f>"9783030582517"</f>
        <v>9783030582517</v>
      </c>
      <c r="E1828" t="s">
        <v>2905</v>
      </c>
      <c r="F1828" s="1">
        <v>44329</v>
      </c>
      <c r="G1828" t="s">
        <v>7502</v>
      </c>
      <c r="H1828" t="s">
        <v>4180</v>
      </c>
      <c r="I1828" t="s">
        <v>4766</v>
      </c>
      <c r="L1828" t="s">
        <v>20</v>
      </c>
      <c r="M1828" t="s">
        <v>7503</v>
      </c>
    </row>
    <row r="1829" spans="1:13" x14ac:dyDescent="0.25">
      <c r="A1829">
        <v>6621447</v>
      </c>
      <c r="B1829" t="s">
        <v>7504</v>
      </c>
      <c r="C1829" t="str">
        <f>"9783030713997"</f>
        <v>9783030713997</v>
      </c>
      <c r="D1829" t="str">
        <f>"9783030714000"</f>
        <v>9783030714000</v>
      </c>
      <c r="E1829" t="s">
        <v>2905</v>
      </c>
      <c r="F1829" s="1">
        <v>44330</v>
      </c>
      <c r="G1829" t="s">
        <v>7505</v>
      </c>
      <c r="H1829" t="s">
        <v>712</v>
      </c>
      <c r="I1829" t="s">
        <v>7506</v>
      </c>
      <c r="L1829" t="s">
        <v>20</v>
      </c>
      <c r="M1829" t="s">
        <v>7507</v>
      </c>
    </row>
    <row r="1830" spans="1:13" x14ac:dyDescent="0.25">
      <c r="A1830">
        <v>6623865</v>
      </c>
      <c r="B1830" t="s">
        <v>7508</v>
      </c>
      <c r="C1830" t="str">
        <f>"9781644694053"</f>
        <v>9781644694053</v>
      </c>
      <c r="D1830" t="str">
        <f>"9781644694060"</f>
        <v>9781644694060</v>
      </c>
      <c r="E1830" t="s">
        <v>2224</v>
      </c>
      <c r="F1830" s="1">
        <v>44390</v>
      </c>
      <c r="G1830" t="s">
        <v>7509</v>
      </c>
      <c r="H1830" t="s">
        <v>70</v>
      </c>
      <c r="J1830">
        <v>809.93355199999996</v>
      </c>
      <c r="L1830" t="s">
        <v>20</v>
      </c>
      <c r="M1830" t="s">
        <v>7510</v>
      </c>
    </row>
    <row r="1831" spans="1:13" x14ac:dyDescent="0.25">
      <c r="A1831">
        <v>6623997</v>
      </c>
      <c r="B1831" t="s">
        <v>7511</v>
      </c>
      <c r="C1831" t="str">
        <f>"9783030669768"</f>
        <v>9783030669768</v>
      </c>
      <c r="D1831" t="str">
        <f>"9783030669775"</f>
        <v>9783030669775</v>
      </c>
      <c r="E1831" t="s">
        <v>2905</v>
      </c>
      <c r="F1831" s="1">
        <v>44332</v>
      </c>
      <c r="G1831" t="s">
        <v>7512</v>
      </c>
      <c r="H1831" t="s">
        <v>3480</v>
      </c>
      <c r="I1831" t="s">
        <v>5436</v>
      </c>
      <c r="L1831" t="s">
        <v>20</v>
      </c>
      <c r="M1831" t="s">
        <v>7513</v>
      </c>
    </row>
    <row r="1832" spans="1:13" x14ac:dyDescent="0.25">
      <c r="A1832">
        <v>6624790</v>
      </c>
      <c r="B1832" t="s">
        <v>7514</v>
      </c>
      <c r="C1832" t="str">
        <f>"9789633863121"</f>
        <v>9789633863121</v>
      </c>
      <c r="D1832" t="str">
        <f>"9789633862827"</f>
        <v>9789633862827</v>
      </c>
      <c r="E1832" t="s">
        <v>2263</v>
      </c>
      <c r="F1832" s="1">
        <v>43739</v>
      </c>
      <c r="G1832" t="s">
        <v>7515</v>
      </c>
      <c r="H1832" t="s">
        <v>30</v>
      </c>
      <c r="J1832" t="s">
        <v>7516</v>
      </c>
      <c r="L1832" t="s">
        <v>20</v>
      </c>
      <c r="M1832" t="s">
        <v>7517</v>
      </c>
    </row>
    <row r="1833" spans="1:13" x14ac:dyDescent="0.25">
      <c r="A1833">
        <v>6624791</v>
      </c>
      <c r="B1833" t="s">
        <v>7518</v>
      </c>
      <c r="C1833" t="str">
        <f>"9789633863848"</f>
        <v>9789633863848</v>
      </c>
      <c r="D1833" t="str">
        <f>"9789633863855"</f>
        <v>9789633863855</v>
      </c>
      <c r="E1833" t="s">
        <v>2263</v>
      </c>
      <c r="F1833" s="1">
        <v>44075</v>
      </c>
      <c r="G1833" t="s">
        <v>7519</v>
      </c>
      <c r="H1833" t="s">
        <v>1753</v>
      </c>
      <c r="L1833" t="s">
        <v>20</v>
      </c>
      <c r="M1833" t="s">
        <v>7520</v>
      </c>
    </row>
    <row r="1834" spans="1:13" x14ac:dyDescent="0.25">
      <c r="A1834">
        <v>6624792</v>
      </c>
      <c r="B1834" t="s">
        <v>7521</v>
      </c>
      <c r="C1834" t="str">
        <f>"9789633863190"</f>
        <v>9789633863190</v>
      </c>
      <c r="D1834" t="str">
        <f>"9789633863206"</f>
        <v>9789633863206</v>
      </c>
      <c r="E1834" t="s">
        <v>2263</v>
      </c>
      <c r="F1834" s="1">
        <v>43862</v>
      </c>
      <c r="G1834" t="s">
        <v>7522</v>
      </c>
      <c r="H1834" t="s">
        <v>7523</v>
      </c>
      <c r="L1834" t="s">
        <v>20</v>
      </c>
      <c r="M1834" t="s">
        <v>7524</v>
      </c>
    </row>
    <row r="1835" spans="1:13" x14ac:dyDescent="0.25">
      <c r="A1835">
        <v>6627528</v>
      </c>
      <c r="B1835" t="s">
        <v>7525</v>
      </c>
      <c r="C1835" t="str">
        <f>"9783030708832"</f>
        <v>9783030708832</v>
      </c>
      <c r="D1835" t="str">
        <f>"9783030708849"</f>
        <v>9783030708849</v>
      </c>
      <c r="E1835" t="s">
        <v>2905</v>
      </c>
      <c r="F1835" s="1">
        <v>44335</v>
      </c>
      <c r="G1835" t="s">
        <v>7526</v>
      </c>
      <c r="H1835" t="s">
        <v>1753</v>
      </c>
      <c r="I1835" t="s">
        <v>5609</v>
      </c>
      <c r="L1835" t="s">
        <v>20</v>
      </c>
      <c r="M1835" t="s">
        <v>7527</v>
      </c>
    </row>
    <row r="1836" spans="1:13" x14ac:dyDescent="0.25">
      <c r="A1836">
        <v>6627534</v>
      </c>
      <c r="B1836" t="s">
        <v>7528</v>
      </c>
      <c r="C1836" t="str">
        <f>"9783030742201"</f>
        <v>9783030742201</v>
      </c>
      <c r="D1836" t="str">
        <f>"9783030742218"</f>
        <v>9783030742218</v>
      </c>
      <c r="E1836" t="s">
        <v>2905</v>
      </c>
      <c r="F1836" s="1">
        <v>44335</v>
      </c>
      <c r="G1836" t="s">
        <v>7529</v>
      </c>
      <c r="H1836" t="s">
        <v>7530</v>
      </c>
      <c r="I1836" t="s">
        <v>4899</v>
      </c>
      <c r="J1836">
        <v>796.72068000000002</v>
      </c>
      <c r="L1836" t="s">
        <v>20</v>
      </c>
      <c r="M1836" t="s">
        <v>7531</v>
      </c>
    </row>
    <row r="1837" spans="1:13" x14ac:dyDescent="0.25">
      <c r="A1837">
        <v>6627586</v>
      </c>
      <c r="B1837" t="s">
        <v>7532</v>
      </c>
      <c r="C1837" t="str">
        <f>"9783030689438"</f>
        <v>9783030689438</v>
      </c>
      <c r="D1837" t="str">
        <f>"9783030689445"</f>
        <v>9783030689445</v>
      </c>
      <c r="E1837" t="s">
        <v>2905</v>
      </c>
      <c r="F1837" s="1">
        <v>44334</v>
      </c>
      <c r="G1837" t="s">
        <v>7533</v>
      </c>
      <c r="H1837" t="s">
        <v>5522</v>
      </c>
      <c r="I1837" t="s">
        <v>5154</v>
      </c>
      <c r="J1837">
        <v>333.95389999999998</v>
      </c>
      <c r="L1837" t="s">
        <v>20</v>
      </c>
      <c r="M1837" t="s">
        <v>7534</v>
      </c>
    </row>
    <row r="1838" spans="1:13" x14ac:dyDescent="0.25">
      <c r="A1838">
        <v>6627597</v>
      </c>
      <c r="B1838" t="s">
        <v>7535</v>
      </c>
      <c r="C1838" t="str">
        <f>"9783662630167"</f>
        <v>9783662630167</v>
      </c>
      <c r="D1838" t="str">
        <f>"9783662630174"</f>
        <v>9783662630174</v>
      </c>
      <c r="E1838" t="s">
        <v>5860</v>
      </c>
      <c r="F1838" s="1">
        <v>44334</v>
      </c>
      <c r="G1838" t="s">
        <v>7536</v>
      </c>
      <c r="H1838" t="s">
        <v>70</v>
      </c>
      <c r="I1838" t="s">
        <v>6491</v>
      </c>
      <c r="L1838" t="s">
        <v>291</v>
      </c>
      <c r="M1838" t="s">
        <v>7537</v>
      </c>
    </row>
    <row r="1839" spans="1:13" x14ac:dyDescent="0.25">
      <c r="A1839">
        <v>6627599</v>
      </c>
      <c r="B1839" t="s">
        <v>7538</v>
      </c>
      <c r="C1839" t="str">
        <f>"9783030711429"</f>
        <v>9783030711429</v>
      </c>
      <c r="D1839" t="str">
        <f>"9783030711436"</f>
        <v>9783030711436</v>
      </c>
      <c r="E1839" t="s">
        <v>2905</v>
      </c>
      <c r="F1839" s="1">
        <v>44335</v>
      </c>
      <c r="G1839" t="s">
        <v>7539</v>
      </c>
      <c r="H1839" t="s">
        <v>30</v>
      </c>
      <c r="I1839" t="s">
        <v>4676</v>
      </c>
      <c r="L1839" t="s">
        <v>20</v>
      </c>
      <c r="M1839" t="s">
        <v>7540</v>
      </c>
    </row>
    <row r="1840" spans="1:13" x14ac:dyDescent="0.25">
      <c r="A1840">
        <v>6628087</v>
      </c>
      <c r="B1840" t="s">
        <v>7541</v>
      </c>
      <c r="C1840" t="str">
        <f>"9783030705893"</f>
        <v>9783030705893</v>
      </c>
      <c r="D1840" t="str">
        <f>"9783030705909"</f>
        <v>9783030705909</v>
      </c>
      <c r="E1840" t="s">
        <v>2905</v>
      </c>
      <c r="F1840" s="1">
        <v>44336</v>
      </c>
      <c r="G1840" t="s">
        <v>7542</v>
      </c>
      <c r="H1840" t="s">
        <v>246</v>
      </c>
      <c r="I1840" t="s">
        <v>7543</v>
      </c>
      <c r="J1840">
        <v>791.43658000000005</v>
      </c>
      <c r="L1840" t="s">
        <v>20</v>
      </c>
      <c r="M1840" t="s">
        <v>7544</v>
      </c>
    </row>
    <row r="1841" spans="1:13" x14ac:dyDescent="0.25">
      <c r="A1841">
        <v>6628587</v>
      </c>
      <c r="B1841" t="s">
        <v>7545</v>
      </c>
      <c r="C1841" t="str">
        <f>"9783030451059"</f>
        <v>9783030451059</v>
      </c>
      <c r="D1841" t="str">
        <f>"9783030451066"</f>
        <v>9783030451066</v>
      </c>
      <c r="E1841" t="s">
        <v>2905</v>
      </c>
      <c r="F1841" s="1">
        <v>44337</v>
      </c>
      <c r="G1841" t="s">
        <v>7546</v>
      </c>
      <c r="H1841" t="s">
        <v>83</v>
      </c>
      <c r="I1841" t="s">
        <v>4615</v>
      </c>
      <c r="J1841">
        <v>363.73874095999997</v>
      </c>
      <c r="L1841" t="s">
        <v>20</v>
      </c>
      <c r="M1841" t="s">
        <v>7547</v>
      </c>
    </row>
    <row r="1842" spans="1:13" x14ac:dyDescent="0.25">
      <c r="A1842">
        <v>6628607</v>
      </c>
      <c r="B1842" t="s">
        <v>7548</v>
      </c>
      <c r="C1842" t="str">
        <f>"9783030657673"</f>
        <v>9783030657673</v>
      </c>
      <c r="D1842" t="str">
        <f>"9783030657680"</f>
        <v>9783030657680</v>
      </c>
      <c r="E1842" t="s">
        <v>2905</v>
      </c>
      <c r="F1842" s="1">
        <v>44337</v>
      </c>
      <c r="G1842" t="s">
        <v>7549</v>
      </c>
      <c r="H1842" t="s">
        <v>266</v>
      </c>
      <c r="I1842" t="s">
        <v>7550</v>
      </c>
      <c r="L1842" t="s">
        <v>20</v>
      </c>
      <c r="M1842" t="s">
        <v>7551</v>
      </c>
    </row>
    <row r="1843" spans="1:13" x14ac:dyDescent="0.25">
      <c r="A1843">
        <v>6628611</v>
      </c>
      <c r="B1843" t="s">
        <v>7552</v>
      </c>
      <c r="C1843" t="str">
        <f>"9789811628801"</f>
        <v>9789811628801</v>
      </c>
      <c r="D1843" t="str">
        <f>"9789811628818"</f>
        <v>9789811628818</v>
      </c>
      <c r="E1843" t="s">
        <v>4099</v>
      </c>
      <c r="F1843" s="1">
        <v>44337</v>
      </c>
      <c r="G1843" t="s">
        <v>7553</v>
      </c>
      <c r="H1843" t="s">
        <v>712</v>
      </c>
      <c r="I1843" t="s">
        <v>5821</v>
      </c>
      <c r="L1843" t="s">
        <v>20</v>
      </c>
      <c r="M1843" t="s">
        <v>7554</v>
      </c>
    </row>
    <row r="1844" spans="1:13" x14ac:dyDescent="0.25">
      <c r="A1844">
        <v>6629016</v>
      </c>
      <c r="B1844" t="s">
        <v>7555</v>
      </c>
      <c r="C1844" t="str">
        <f>"9789811609718"</f>
        <v>9789811609718</v>
      </c>
      <c r="D1844" t="str">
        <f>"9789811609725"</f>
        <v>9789811609725</v>
      </c>
      <c r="E1844" t="s">
        <v>4099</v>
      </c>
      <c r="F1844" s="1">
        <v>44339</v>
      </c>
      <c r="G1844" t="s">
        <v>7556</v>
      </c>
      <c r="H1844" t="s">
        <v>3355</v>
      </c>
      <c r="I1844" t="s">
        <v>4782</v>
      </c>
      <c r="L1844" t="s">
        <v>20</v>
      </c>
      <c r="M1844" t="s">
        <v>7557</v>
      </c>
    </row>
    <row r="1845" spans="1:13" x14ac:dyDescent="0.25">
      <c r="A1845">
        <v>6631291</v>
      </c>
      <c r="B1845" t="s">
        <v>7558</v>
      </c>
      <c r="C1845" t="str">
        <f>"9783030772550"</f>
        <v>9783030772550</v>
      </c>
      <c r="D1845" t="str">
        <f>"9783030772567"</f>
        <v>9783030772567</v>
      </c>
      <c r="E1845" t="s">
        <v>2905</v>
      </c>
      <c r="F1845" s="1">
        <v>44343</v>
      </c>
      <c r="G1845" t="s">
        <v>7559</v>
      </c>
      <c r="H1845" t="s">
        <v>4915</v>
      </c>
      <c r="I1845" t="s">
        <v>4495</v>
      </c>
      <c r="L1845" t="s">
        <v>20</v>
      </c>
      <c r="M1845" t="s">
        <v>7560</v>
      </c>
    </row>
    <row r="1846" spans="1:13" x14ac:dyDescent="0.25">
      <c r="A1846">
        <v>6631347</v>
      </c>
      <c r="B1846" t="s">
        <v>7561</v>
      </c>
      <c r="C1846" t="str">
        <f>"9783030711016"</f>
        <v>9783030711016</v>
      </c>
      <c r="D1846" t="str">
        <f>"9783030711023"</f>
        <v>9783030711023</v>
      </c>
      <c r="E1846" t="s">
        <v>2905</v>
      </c>
      <c r="F1846" s="1">
        <v>44343</v>
      </c>
      <c r="G1846" t="s">
        <v>7562</v>
      </c>
      <c r="H1846" t="s">
        <v>363</v>
      </c>
      <c r="I1846" t="s">
        <v>7563</v>
      </c>
      <c r="L1846" t="s">
        <v>20</v>
      </c>
      <c r="M1846" t="s">
        <v>7564</v>
      </c>
    </row>
    <row r="1847" spans="1:13" x14ac:dyDescent="0.25">
      <c r="A1847">
        <v>6633237</v>
      </c>
      <c r="B1847" t="s">
        <v>7565</v>
      </c>
      <c r="C1847" t="str">
        <f>"9783030711221"</f>
        <v>9783030711221</v>
      </c>
      <c r="D1847" t="str">
        <f>"9783030711238"</f>
        <v>9783030711238</v>
      </c>
      <c r="E1847" t="s">
        <v>2905</v>
      </c>
      <c r="F1847" s="1">
        <v>44345</v>
      </c>
      <c r="G1847" t="s">
        <v>7566</v>
      </c>
      <c r="H1847" t="s">
        <v>7567</v>
      </c>
      <c r="I1847" t="s">
        <v>5505</v>
      </c>
      <c r="J1847">
        <v>362.10289</v>
      </c>
      <c r="L1847" t="s">
        <v>20</v>
      </c>
      <c r="M1847" t="s">
        <v>7568</v>
      </c>
    </row>
    <row r="1848" spans="1:13" x14ac:dyDescent="0.25">
      <c r="A1848">
        <v>6633243</v>
      </c>
      <c r="B1848" t="s">
        <v>7569</v>
      </c>
      <c r="C1848" t="str">
        <f>"9783030742263"</f>
        <v>9783030742263</v>
      </c>
      <c r="D1848" t="str">
        <f>"9783030742270"</f>
        <v>9783030742270</v>
      </c>
      <c r="E1848" t="s">
        <v>2905</v>
      </c>
      <c r="F1848" s="1">
        <v>44345</v>
      </c>
      <c r="G1848" t="s">
        <v>7570</v>
      </c>
      <c r="H1848" t="s">
        <v>246</v>
      </c>
      <c r="I1848" t="s">
        <v>7571</v>
      </c>
      <c r="L1848" t="s">
        <v>20</v>
      </c>
      <c r="M1848" t="s">
        <v>7572</v>
      </c>
    </row>
    <row r="1849" spans="1:13" x14ac:dyDescent="0.25">
      <c r="A1849">
        <v>6633269</v>
      </c>
      <c r="B1849" t="s">
        <v>7573</v>
      </c>
      <c r="C1849" t="str">
        <f>"9783030501990"</f>
        <v>9783030501990</v>
      </c>
      <c r="D1849" t="str">
        <f>"9783030502003"</f>
        <v>9783030502003</v>
      </c>
      <c r="E1849" t="s">
        <v>2905</v>
      </c>
      <c r="F1849" s="1">
        <v>44345</v>
      </c>
      <c r="G1849" t="s">
        <v>7574</v>
      </c>
      <c r="H1849" t="s">
        <v>851</v>
      </c>
      <c r="I1849" t="s">
        <v>6542</v>
      </c>
      <c r="L1849" t="s">
        <v>20</v>
      </c>
      <c r="M1849" t="s">
        <v>7575</v>
      </c>
    </row>
    <row r="1850" spans="1:13" x14ac:dyDescent="0.25">
      <c r="A1850">
        <v>6633453</v>
      </c>
      <c r="B1850" t="s">
        <v>7576</v>
      </c>
      <c r="C1850" t="str">
        <f>"9781800640900"</f>
        <v>9781800640900</v>
      </c>
      <c r="D1850" t="str">
        <f>"9781800640917"</f>
        <v>9781800640917</v>
      </c>
      <c r="E1850" t="s">
        <v>2270</v>
      </c>
      <c r="F1850" s="1">
        <v>44319</v>
      </c>
      <c r="G1850" t="s">
        <v>7577</v>
      </c>
      <c r="H1850" t="s">
        <v>4458</v>
      </c>
      <c r="L1850" t="s">
        <v>20</v>
      </c>
      <c r="M1850" t="s">
        <v>7578</v>
      </c>
    </row>
    <row r="1851" spans="1:13" x14ac:dyDescent="0.25">
      <c r="A1851">
        <v>6633454</v>
      </c>
      <c r="B1851" t="s">
        <v>7579</v>
      </c>
      <c r="C1851" t="str">
        <f>"9781783747702"</f>
        <v>9781783747702</v>
      </c>
      <c r="D1851" t="str">
        <f>"9781783747719"</f>
        <v>9781783747719</v>
      </c>
      <c r="E1851" t="s">
        <v>2270</v>
      </c>
      <c r="F1851" s="1">
        <v>44336</v>
      </c>
      <c r="G1851" t="s">
        <v>7580</v>
      </c>
      <c r="H1851" t="s">
        <v>70</v>
      </c>
      <c r="L1851" t="s">
        <v>20</v>
      </c>
      <c r="M1851" t="s">
        <v>7581</v>
      </c>
    </row>
    <row r="1852" spans="1:13" x14ac:dyDescent="0.25">
      <c r="A1852">
        <v>6633455</v>
      </c>
      <c r="B1852" t="s">
        <v>7582</v>
      </c>
      <c r="C1852" t="str">
        <f>"9781800641761"</f>
        <v>9781800641761</v>
      </c>
      <c r="D1852" t="str">
        <f>"9781800641778"</f>
        <v>9781800641778</v>
      </c>
      <c r="E1852" t="s">
        <v>2270</v>
      </c>
      <c r="F1852" s="1">
        <v>44347</v>
      </c>
      <c r="G1852" t="s">
        <v>7583</v>
      </c>
      <c r="H1852" t="s">
        <v>7584</v>
      </c>
      <c r="L1852" t="s">
        <v>20</v>
      </c>
      <c r="M1852" t="s">
        <v>7585</v>
      </c>
    </row>
    <row r="1853" spans="1:13" x14ac:dyDescent="0.25">
      <c r="A1853">
        <v>6634971</v>
      </c>
      <c r="B1853" t="s">
        <v>7586</v>
      </c>
      <c r="C1853" t="str">
        <f>"9783658338541"</f>
        <v>9783658338541</v>
      </c>
      <c r="D1853" t="str">
        <f>"9783658338558"</f>
        <v>9783658338558</v>
      </c>
      <c r="E1853" t="s">
        <v>4472</v>
      </c>
      <c r="F1853" s="1">
        <v>44348</v>
      </c>
      <c r="G1853" t="s">
        <v>7587</v>
      </c>
      <c r="H1853" t="s">
        <v>310</v>
      </c>
      <c r="I1853" t="s">
        <v>5718</v>
      </c>
      <c r="L1853" t="s">
        <v>291</v>
      </c>
      <c r="M1853" t="s">
        <v>7588</v>
      </c>
    </row>
    <row r="1854" spans="1:13" x14ac:dyDescent="0.25">
      <c r="A1854">
        <v>6635000</v>
      </c>
      <c r="B1854" t="s">
        <v>7589</v>
      </c>
      <c r="C1854" t="str">
        <f>"9783662630204"</f>
        <v>9783662630204</v>
      </c>
      <c r="D1854" t="str">
        <f>"9783662630211"</f>
        <v>9783662630211</v>
      </c>
      <c r="E1854" t="s">
        <v>4540</v>
      </c>
      <c r="F1854" s="1">
        <v>44348</v>
      </c>
      <c r="G1854" t="s">
        <v>7590</v>
      </c>
      <c r="H1854" t="s">
        <v>1283</v>
      </c>
      <c r="I1854" t="s">
        <v>7591</v>
      </c>
      <c r="L1854" t="s">
        <v>20</v>
      </c>
      <c r="M1854" t="s">
        <v>7592</v>
      </c>
    </row>
    <row r="1855" spans="1:13" x14ac:dyDescent="0.25">
      <c r="A1855">
        <v>6635544</v>
      </c>
      <c r="B1855" t="s">
        <v>7593</v>
      </c>
      <c r="C1855" t="str">
        <f>"9789462984127"</f>
        <v>9789462984127</v>
      </c>
      <c r="D1855" t="str">
        <f>"9789048534623"</f>
        <v>9789048534623</v>
      </c>
      <c r="E1855" t="s">
        <v>4128</v>
      </c>
      <c r="F1855" s="1">
        <v>43033</v>
      </c>
      <c r="G1855" t="s">
        <v>7594</v>
      </c>
      <c r="H1855" t="s">
        <v>7595</v>
      </c>
      <c r="L1855" t="s">
        <v>20</v>
      </c>
      <c r="M1855" t="s">
        <v>7596</v>
      </c>
    </row>
    <row r="1856" spans="1:13" x14ac:dyDescent="0.25">
      <c r="A1856">
        <v>6635733</v>
      </c>
      <c r="B1856" t="s">
        <v>7597</v>
      </c>
      <c r="C1856" t="str">
        <f>"9789811606533"</f>
        <v>9789811606533</v>
      </c>
      <c r="D1856" t="str">
        <f>"9789811606540"</f>
        <v>9789811606540</v>
      </c>
      <c r="E1856" t="s">
        <v>4099</v>
      </c>
      <c r="F1856" s="1">
        <v>44349</v>
      </c>
      <c r="G1856" t="s">
        <v>7598</v>
      </c>
      <c r="H1856" t="s">
        <v>139</v>
      </c>
      <c r="I1856" t="s">
        <v>6906</v>
      </c>
      <c r="L1856" t="s">
        <v>20</v>
      </c>
      <c r="M1856" t="s">
        <v>7599</v>
      </c>
    </row>
    <row r="1857" spans="1:13" x14ac:dyDescent="0.25">
      <c r="A1857">
        <v>6636681</v>
      </c>
      <c r="B1857" t="s">
        <v>7600</v>
      </c>
      <c r="C1857" t="str">
        <f>"9783030632335"</f>
        <v>9783030632335</v>
      </c>
      <c r="D1857" t="str">
        <f>"9783030632342"</f>
        <v>9783030632342</v>
      </c>
      <c r="E1857" t="s">
        <v>2905</v>
      </c>
      <c r="F1857" s="1">
        <v>44350</v>
      </c>
      <c r="G1857" t="s">
        <v>7601</v>
      </c>
      <c r="H1857" t="s">
        <v>266</v>
      </c>
      <c r="I1857" t="s">
        <v>5672</v>
      </c>
      <c r="L1857" t="s">
        <v>20</v>
      </c>
      <c r="M1857" t="s">
        <v>7602</v>
      </c>
    </row>
    <row r="1858" spans="1:13" x14ac:dyDescent="0.25">
      <c r="A1858">
        <v>6636687</v>
      </c>
      <c r="B1858" t="s">
        <v>7603</v>
      </c>
      <c r="C1858" t="str">
        <f>"9783030688127"</f>
        <v>9783030688127</v>
      </c>
      <c r="D1858" t="str">
        <f>"9783030688134"</f>
        <v>9783030688134</v>
      </c>
      <c r="E1858" t="s">
        <v>2905</v>
      </c>
      <c r="F1858" s="1">
        <v>44350</v>
      </c>
      <c r="G1858" t="s">
        <v>7604</v>
      </c>
      <c r="H1858" t="s">
        <v>2623</v>
      </c>
      <c r="I1858" t="s">
        <v>5676</v>
      </c>
      <c r="L1858" t="s">
        <v>20</v>
      </c>
      <c r="M1858" t="s">
        <v>7605</v>
      </c>
    </row>
    <row r="1859" spans="1:13" x14ac:dyDescent="0.25">
      <c r="A1859">
        <v>6636696</v>
      </c>
      <c r="B1859" t="s">
        <v>7606</v>
      </c>
      <c r="C1859" t="str">
        <f>"9783030708894"</f>
        <v>9783030708894</v>
      </c>
      <c r="D1859" t="str">
        <f>"9783030708900"</f>
        <v>9783030708900</v>
      </c>
      <c r="E1859" t="s">
        <v>2905</v>
      </c>
      <c r="F1859" s="1">
        <v>44350</v>
      </c>
      <c r="G1859" t="s">
        <v>7607</v>
      </c>
      <c r="H1859" t="s">
        <v>30</v>
      </c>
      <c r="I1859" t="s">
        <v>4251</v>
      </c>
      <c r="L1859" t="s">
        <v>20</v>
      </c>
      <c r="M1859" t="s">
        <v>7608</v>
      </c>
    </row>
    <row r="1860" spans="1:13" x14ac:dyDescent="0.25">
      <c r="A1860">
        <v>6637090</v>
      </c>
      <c r="B1860" t="s">
        <v>7609</v>
      </c>
      <c r="C1860" t="str">
        <f>"9783658324995"</f>
        <v>9783658324995</v>
      </c>
      <c r="D1860" t="str">
        <f>"9783658325008"</f>
        <v>9783658325008</v>
      </c>
      <c r="E1860" t="s">
        <v>4472</v>
      </c>
      <c r="F1860" s="1">
        <v>44351</v>
      </c>
      <c r="G1860" t="s">
        <v>7610</v>
      </c>
      <c r="H1860" t="s">
        <v>64</v>
      </c>
      <c r="I1860" t="s">
        <v>4102</v>
      </c>
      <c r="L1860" t="s">
        <v>291</v>
      </c>
      <c r="M1860" t="s">
        <v>7611</v>
      </c>
    </row>
    <row r="1861" spans="1:13" x14ac:dyDescent="0.25">
      <c r="A1861">
        <v>6637099</v>
      </c>
      <c r="B1861" t="s">
        <v>7612</v>
      </c>
      <c r="C1861" t="str">
        <f>"9783030702496"</f>
        <v>9783030702496</v>
      </c>
      <c r="D1861" t="str">
        <f>"9783030702502"</f>
        <v>9783030702502</v>
      </c>
      <c r="E1861" t="s">
        <v>2905</v>
      </c>
      <c r="F1861" s="1">
        <v>44351</v>
      </c>
      <c r="G1861" t="s">
        <v>7613</v>
      </c>
      <c r="H1861" t="s">
        <v>1753</v>
      </c>
      <c r="I1861" t="s">
        <v>5485</v>
      </c>
      <c r="L1861" t="s">
        <v>20</v>
      </c>
      <c r="M1861" t="s">
        <v>7614</v>
      </c>
    </row>
    <row r="1862" spans="1:13" x14ac:dyDescent="0.25">
      <c r="A1862">
        <v>6637327</v>
      </c>
      <c r="B1862" t="s">
        <v>7615</v>
      </c>
      <c r="C1862" t="str">
        <f>""</f>
        <v/>
      </c>
      <c r="D1862" t="str">
        <f>"9788395609558"</f>
        <v>9788395609558</v>
      </c>
      <c r="E1862" t="s">
        <v>350</v>
      </c>
      <c r="F1862" s="1">
        <v>43871</v>
      </c>
      <c r="G1862" t="s">
        <v>7616</v>
      </c>
      <c r="H1862" t="s">
        <v>70</v>
      </c>
      <c r="L1862" t="s">
        <v>20</v>
      </c>
      <c r="M1862" t="s">
        <v>7617</v>
      </c>
    </row>
    <row r="1863" spans="1:13" x14ac:dyDescent="0.25">
      <c r="A1863">
        <v>6637390</v>
      </c>
      <c r="B1863" t="s">
        <v>7618</v>
      </c>
      <c r="C1863" t="str">
        <f>"9783110622027"</f>
        <v>9783110622027</v>
      </c>
      <c r="D1863" t="str">
        <f>"9783110622034"</f>
        <v>9783110622034</v>
      </c>
      <c r="E1863" t="s">
        <v>350</v>
      </c>
      <c r="F1863" s="1">
        <v>43605</v>
      </c>
      <c r="G1863" t="s">
        <v>7619</v>
      </c>
      <c r="H1863" t="s">
        <v>1657</v>
      </c>
      <c r="L1863" t="s">
        <v>20</v>
      </c>
      <c r="M1863" t="s">
        <v>7620</v>
      </c>
    </row>
    <row r="1864" spans="1:13" x14ac:dyDescent="0.25">
      <c r="A1864">
        <v>6637394</v>
      </c>
      <c r="B1864" t="s">
        <v>7621</v>
      </c>
      <c r="C1864" t="str">
        <f>""</f>
        <v/>
      </c>
      <c r="D1864" t="str">
        <f>"9783110647495"</f>
        <v>9783110647495</v>
      </c>
      <c r="E1864" t="s">
        <v>350</v>
      </c>
      <c r="F1864" s="1">
        <v>44130</v>
      </c>
      <c r="G1864" t="s">
        <v>7622</v>
      </c>
      <c r="H1864" t="s">
        <v>64</v>
      </c>
      <c r="J1864">
        <v>302.14</v>
      </c>
      <c r="L1864" t="s">
        <v>20</v>
      </c>
      <c r="M1864" t="s">
        <v>7623</v>
      </c>
    </row>
    <row r="1865" spans="1:13" x14ac:dyDescent="0.25">
      <c r="A1865">
        <v>6637395</v>
      </c>
      <c r="B1865" t="s">
        <v>7624</v>
      </c>
      <c r="C1865" t="str">
        <f>""</f>
        <v/>
      </c>
      <c r="D1865" t="str">
        <f>"9783110639063"</f>
        <v>9783110639063</v>
      </c>
      <c r="E1865" t="s">
        <v>350</v>
      </c>
      <c r="F1865" s="1">
        <v>43570</v>
      </c>
      <c r="G1865" t="s">
        <v>7625</v>
      </c>
      <c r="H1865" t="s">
        <v>851</v>
      </c>
      <c r="J1865">
        <v>492.7</v>
      </c>
      <c r="L1865" t="s">
        <v>20</v>
      </c>
      <c r="M1865" t="s">
        <v>7626</v>
      </c>
    </row>
    <row r="1866" spans="1:13" x14ac:dyDescent="0.25">
      <c r="A1866">
        <v>6637396</v>
      </c>
      <c r="B1866" t="s">
        <v>7627</v>
      </c>
      <c r="C1866" t="str">
        <f>""</f>
        <v/>
      </c>
      <c r="D1866" t="str">
        <f>"9783110668797"</f>
        <v>9783110668797</v>
      </c>
      <c r="E1866" t="s">
        <v>350</v>
      </c>
      <c r="F1866" s="1">
        <v>44081</v>
      </c>
      <c r="G1866" t="s">
        <v>4388</v>
      </c>
      <c r="H1866" t="s">
        <v>1137</v>
      </c>
      <c r="L1866" t="s">
        <v>20</v>
      </c>
      <c r="M1866" t="s">
        <v>7628</v>
      </c>
    </row>
    <row r="1867" spans="1:13" x14ac:dyDescent="0.25">
      <c r="A1867">
        <v>6637398</v>
      </c>
      <c r="B1867" t="s">
        <v>7629</v>
      </c>
      <c r="C1867" t="str">
        <f>""</f>
        <v/>
      </c>
      <c r="D1867" t="str">
        <f>"9783110684384"</f>
        <v>9783110684384</v>
      </c>
      <c r="E1867" t="s">
        <v>350</v>
      </c>
      <c r="F1867" s="1">
        <v>44081</v>
      </c>
      <c r="G1867" t="s">
        <v>7630</v>
      </c>
      <c r="H1867" t="s">
        <v>2293</v>
      </c>
      <c r="J1867">
        <v>91</v>
      </c>
      <c r="L1867" t="s">
        <v>20</v>
      </c>
      <c r="M1867" t="s">
        <v>7631</v>
      </c>
    </row>
    <row r="1868" spans="1:13" x14ac:dyDescent="0.25">
      <c r="A1868">
        <v>6637400</v>
      </c>
      <c r="B1868" t="s">
        <v>7632</v>
      </c>
      <c r="C1868" t="str">
        <f>"9783110610444"</f>
        <v>9783110610444</v>
      </c>
      <c r="D1868" t="str">
        <f>"9783110615630"</f>
        <v>9783110615630</v>
      </c>
      <c r="E1868" t="s">
        <v>350</v>
      </c>
      <c r="F1868" s="1">
        <v>43556</v>
      </c>
      <c r="G1868" t="s">
        <v>7633</v>
      </c>
      <c r="H1868" t="s">
        <v>5236</v>
      </c>
      <c r="J1868" t="s">
        <v>7634</v>
      </c>
      <c r="L1868" t="s">
        <v>20</v>
      </c>
      <c r="M1868" t="s">
        <v>7635</v>
      </c>
    </row>
    <row r="1869" spans="1:13" x14ac:dyDescent="0.25">
      <c r="A1869">
        <v>6637401</v>
      </c>
      <c r="B1869" t="s">
        <v>7636</v>
      </c>
      <c r="C1869" t="str">
        <f>""</f>
        <v/>
      </c>
      <c r="D1869" t="str">
        <f>"9783110657746"</f>
        <v>9783110657746</v>
      </c>
      <c r="E1869" t="s">
        <v>350</v>
      </c>
      <c r="F1869" s="1">
        <v>43801</v>
      </c>
      <c r="G1869" t="s">
        <v>7637</v>
      </c>
      <c r="H1869" t="s">
        <v>139</v>
      </c>
      <c r="J1869">
        <v>973.8</v>
      </c>
      <c r="L1869" t="s">
        <v>291</v>
      </c>
      <c r="M1869" t="s">
        <v>7638</v>
      </c>
    </row>
    <row r="1870" spans="1:13" x14ac:dyDescent="0.25">
      <c r="A1870">
        <v>6637402</v>
      </c>
      <c r="B1870" t="s">
        <v>7639</v>
      </c>
      <c r="C1870" t="str">
        <f>""</f>
        <v/>
      </c>
      <c r="D1870" t="str">
        <f>"9783110697179"</f>
        <v>9783110697179</v>
      </c>
      <c r="E1870" t="s">
        <v>350</v>
      </c>
      <c r="F1870" s="1">
        <v>44130</v>
      </c>
      <c r="G1870" t="s">
        <v>7640</v>
      </c>
      <c r="H1870" t="s">
        <v>7641</v>
      </c>
      <c r="L1870" t="s">
        <v>1213</v>
      </c>
      <c r="M1870" t="s">
        <v>7642</v>
      </c>
    </row>
    <row r="1871" spans="1:13" x14ac:dyDescent="0.25">
      <c r="A1871">
        <v>6637406</v>
      </c>
      <c r="B1871" t="s">
        <v>7643</v>
      </c>
      <c r="C1871" t="str">
        <f>""</f>
        <v/>
      </c>
      <c r="D1871" t="str">
        <f>"9783110629040"</f>
        <v>9783110629040</v>
      </c>
      <c r="E1871" t="s">
        <v>350</v>
      </c>
      <c r="F1871" s="1">
        <v>43479</v>
      </c>
      <c r="G1871" t="s">
        <v>7644</v>
      </c>
      <c r="H1871" t="s">
        <v>101</v>
      </c>
      <c r="L1871" t="s">
        <v>291</v>
      </c>
      <c r="M1871" t="s">
        <v>7645</v>
      </c>
    </row>
    <row r="1872" spans="1:13" x14ac:dyDescent="0.25">
      <c r="A1872">
        <v>6637407</v>
      </c>
      <c r="B1872" t="s">
        <v>7646</v>
      </c>
      <c r="C1872" t="str">
        <f>""</f>
        <v/>
      </c>
      <c r="D1872" t="str">
        <f>"9783110660586"</f>
        <v>9783110660586</v>
      </c>
      <c r="E1872" t="s">
        <v>350</v>
      </c>
      <c r="F1872" s="1">
        <v>43710</v>
      </c>
      <c r="G1872" t="s">
        <v>7647</v>
      </c>
      <c r="H1872" t="s">
        <v>70</v>
      </c>
      <c r="J1872">
        <v>809.20093999999995</v>
      </c>
      <c r="L1872" t="s">
        <v>20</v>
      </c>
      <c r="M1872" t="s">
        <v>7648</v>
      </c>
    </row>
    <row r="1873" spans="1:13" x14ac:dyDescent="0.25">
      <c r="A1873">
        <v>6637408</v>
      </c>
      <c r="B1873" t="s">
        <v>7649</v>
      </c>
      <c r="C1873" t="str">
        <f>""</f>
        <v/>
      </c>
      <c r="D1873" t="str">
        <f>"9783110667219"</f>
        <v>9783110667219</v>
      </c>
      <c r="E1873" t="s">
        <v>350</v>
      </c>
      <c r="F1873" s="1">
        <v>43941</v>
      </c>
      <c r="G1873" t="s">
        <v>7650</v>
      </c>
      <c r="H1873" t="s">
        <v>266</v>
      </c>
      <c r="L1873" t="s">
        <v>20</v>
      </c>
      <c r="M1873" t="s">
        <v>7651</v>
      </c>
    </row>
    <row r="1874" spans="1:13" x14ac:dyDescent="0.25">
      <c r="A1874">
        <v>6637409</v>
      </c>
      <c r="B1874" t="s">
        <v>7652</v>
      </c>
      <c r="C1874" t="str">
        <f>""</f>
        <v/>
      </c>
      <c r="D1874" t="str">
        <f>"9783110633566"</f>
        <v>9783110633566</v>
      </c>
      <c r="E1874" t="s">
        <v>350</v>
      </c>
      <c r="F1874" s="1">
        <v>43787</v>
      </c>
      <c r="G1874" t="s">
        <v>7653</v>
      </c>
      <c r="H1874" t="s">
        <v>1137</v>
      </c>
      <c r="L1874" t="s">
        <v>291</v>
      </c>
      <c r="M1874" t="s">
        <v>7654</v>
      </c>
    </row>
    <row r="1875" spans="1:13" x14ac:dyDescent="0.25">
      <c r="A1875">
        <v>6637411</v>
      </c>
      <c r="B1875" t="s">
        <v>7655</v>
      </c>
      <c r="C1875" t="str">
        <f>""</f>
        <v/>
      </c>
      <c r="D1875" t="str">
        <f>"9783422981454"</f>
        <v>9783422981454</v>
      </c>
      <c r="E1875" t="s">
        <v>7656</v>
      </c>
      <c r="F1875" s="1">
        <v>43759</v>
      </c>
      <c r="G1875" t="s">
        <v>7657</v>
      </c>
      <c r="H1875" t="s">
        <v>246</v>
      </c>
      <c r="J1875">
        <v>709.2</v>
      </c>
      <c r="L1875" t="s">
        <v>291</v>
      </c>
      <c r="M1875" t="s">
        <v>7658</v>
      </c>
    </row>
    <row r="1876" spans="1:13" x14ac:dyDescent="0.25">
      <c r="A1876">
        <v>6637413</v>
      </c>
      <c r="B1876" t="s">
        <v>7659</v>
      </c>
      <c r="C1876" t="str">
        <f>""</f>
        <v/>
      </c>
      <c r="D1876" t="str">
        <f>"9789048543137"</f>
        <v>9789048543137</v>
      </c>
      <c r="E1876" t="s">
        <v>4128</v>
      </c>
      <c r="F1876" s="1">
        <v>43937</v>
      </c>
      <c r="G1876" t="s">
        <v>7660</v>
      </c>
      <c r="H1876" t="s">
        <v>7661</v>
      </c>
      <c r="L1876" t="s">
        <v>20</v>
      </c>
      <c r="M1876" t="s">
        <v>7662</v>
      </c>
    </row>
    <row r="1877" spans="1:13" x14ac:dyDescent="0.25">
      <c r="A1877">
        <v>6637415</v>
      </c>
      <c r="B1877" t="s">
        <v>7663</v>
      </c>
      <c r="C1877" t="str">
        <f>"9783110629132"</f>
        <v>9783110629132</v>
      </c>
      <c r="D1877" t="str">
        <f>"9783110629156"</f>
        <v>9783110629156</v>
      </c>
      <c r="E1877" t="s">
        <v>350</v>
      </c>
      <c r="F1877" s="1">
        <v>43494</v>
      </c>
      <c r="G1877" t="s">
        <v>7664</v>
      </c>
      <c r="H1877" t="s">
        <v>806</v>
      </c>
      <c r="J1877">
        <v>723</v>
      </c>
      <c r="L1877" t="s">
        <v>20</v>
      </c>
      <c r="M1877" t="s">
        <v>7665</v>
      </c>
    </row>
    <row r="1878" spans="1:13" x14ac:dyDescent="0.25">
      <c r="A1878">
        <v>6637417</v>
      </c>
      <c r="B1878" t="s">
        <v>7666</v>
      </c>
      <c r="C1878" t="str">
        <f>"9783110614466"</f>
        <v>9783110614466</v>
      </c>
      <c r="D1878" t="str">
        <f>"9783110614442"</f>
        <v>9783110614442</v>
      </c>
      <c r="E1878" t="s">
        <v>350</v>
      </c>
      <c r="F1878" s="1">
        <v>43731</v>
      </c>
      <c r="G1878" t="s">
        <v>7667</v>
      </c>
      <c r="H1878" t="s">
        <v>266</v>
      </c>
      <c r="L1878" t="s">
        <v>291</v>
      </c>
      <c r="M1878" t="s">
        <v>7668</v>
      </c>
    </row>
    <row r="1879" spans="1:13" x14ac:dyDescent="0.25">
      <c r="A1879">
        <v>6637419</v>
      </c>
      <c r="B1879" t="s">
        <v>7669</v>
      </c>
      <c r="C1879" t="str">
        <f>""</f>
        <v/>
      </c>
      <c r="D1879" t="str">
        <f>"9789048544271"</f>
        <v>9789048544271</v>
      </c>
      <c r="E1879" t="s">
        <v>4128</v>
      </c>
      <c r="F1879" s="1">
        <v>43776</v>
      </c>
      <c r="G1879" t="s">
        <v>7670</v>
      </c>
      <c r="H1879" t="s">
        <v>370</v>
      </c>
      <c r="L1879" t="s">
        <v>20</v>
      </c>
      <c r="M1879" t="s">
        <v>7671</v>
      </c>
    </row>
    <row r="1880" spans="1:13" x14ac:dyDescent="0.25">
      <c r="A1880">
        <v>6637431</v>
      </c>
      <c r="B1880" t="s">
        <v>7672</v>
      </c>
      <c r="C1880" t="str">
        <f>""</f>
        <v/>
      </c>
      <c r="D1880" t="str">
        <f>"9783110668902"</f>
        <v>9783110668902</v>
      </c>
      <c r="E1880" t="s">
        <v>350</v>
      </c>
      <c r="F1880" s="1">
        <v>44144</v>
      </c>
      <c r="G1880" t="s">
        <v>7673</v>
      </c>
      <c r="H1880" t="s">
        <v>5142</v>
      </c>
      <c r="L1880" t="s">
        <v>20</v>
      </c>
      <c r="M1880" t="s">
        <v>7674</v>
      </c>
    </row>
    <row r="1881" spans="1:13" x14ac:dyDescent="0.25">
      <c r="A1881">
        <v>6637432</v>
      </c>
      <c r="B1881" t="s">
        <v>7675</v>
      </c>
      <c r="C1881" t="str">
        <f>"9781641891455"</f>
        <v>9781641891455</v>
      </c>
      <c r="D1881" t="str">
        <f>"9781641891462"</f>
        <v>9781641891462</v>
      </c>
      <c r="E1881" t="s">
        <v>7676</v>
      </c>
      <c r="F1881" s="1">
        <v>43890</v>
      </c>
      <c r="G1881" t="s">
        <v>7677</v>
      </c>
      <c r="H1881" t="s">
        <v>64</v>
      </c>
      <c r="J1881">
        <v>305.40940902</v>
      </c>
      <c r="L1881" t="s">
        <v>20</v>
      </c>
      <c r="M1881" t="s">
        <v>7678</v>
      </c>
    </row>
    <row r="1882" spans="1:13" x14ac:dyDescent="0.25">
      <c r="A1882">
        <v>6637433</v>
      </c>
      <c r="B1882" t="s">
        <v>7679</v>
      </c>
      <c r="C1882" t="str">
        <f>""</f>
        <v/>
      </c>
      <c r="D1882" t="str">
        <f>"9783110662955"</f>
        <v>9783110662955</v>
      </c>
      <c r="E1882" t="s">
        <v>350</v>
      </c>
      <c r="F1882" s="1">
        <v>43591</v>
      </c>
      <c r="G1882" t="s">
        <v>7680</v>
      </c>
      <c r="H1882" t="s">
        <v>266</v>
      </c>
      <c r="L1882" t="s">
        <v>291</v>
      </c>
      <c r="M1882" t="s">
        <v>7681</v>
      </c>
    </row>
    <row r="1883" spans="1:13" x14ac:dyDescent="0.25">
      <c r="A1883">
        <v>6637434</v>
      </c>
      <c r="B1883" t="s">
        <v>7682</v>
      </c>
      <c r="C1883" t="str">
        <f>""</f>
        <v/>
      </c>
      <c r="D1883" t="str">
        <f>"9783110641813"</f>
        <v>9783110641813</v>
      </c>
      <c r="E1883" t="s">
        <v>350</v>
      </c>
      <c r="F1883" s="1">
        <v>44158</v>
      </c>
      <c r="G1883" t="s">
        <v>7683</v>
      </c>
      <c r="H1883" t="s">
        <v>310</v>
      </c>
      <c r="L1883" t="s">
        <v>20</v>
      </c>
      <c r="M1883" t="s">
        <v>7684</v>
      </c>
    </row>
    <row r="1884" spans="1:13" x14ac:dyDescent="0.25">
      <c r="A1884">
        <v>6637437</v>
      </c>
      <c r="B1884" t="s">
        <v>7685</v>
      </c>
      <c r="C1884" t="str">
        <f>"9783110617238"</f>
        <v>9783110617238</v>
      </c>
      <c r="D1884" t="str">
        <f>"9783110617245"</f>
        <v>9783110617245</v>
      </c>
      <c r="E1884" t="s">
        <v>350</v>
      </c>
      <c r="F1884" s="1">
        <v>43620</v>
      </c>
      <c r="G1884" t="s">
        <v>7686</v>
      </c>
      <c r="H1884" t="s">
        <v>64</v>
      </c>
      <c r="J1884">
        <v>305.26094000000001</v>
      </c>
      <c r="L1884" t="s">
        <v>20</v>
      </c>
      <c r="M1884" t="s">
        <v>7687</v>
      </c>
    </row>
    <row r="1885" spans="1:13" x14ac:dyDescent="0.25">
      <c r="A1885">
        <v>6637438</v>
      </c>
      <c r="B1885" t="s">
        <v>7688</v>
      </c>
      <c r="C1885" t="str">
        <f>""</f>
        <v/>
      </c>
      <c r="D1885" t="str">
        <f>"9789048550203"</f>
        <v>9789048550203</v>
      </c>
      <c r="E1885" t="s">
        <v>4128</v>
      </c>
      <c r="F1885" s="1">
        <v>43811</v>
      </c>
      <c r="G1885" t="s">
        <v>7689</v>
      </c>
      <c r="H1885" t="s">
        <v>120</v>
      </c>
      <c r="L1885" t="s">
        <v>20</v>
      </c>
      <c r="M1885" t="s">
        <v>7690</v>
      </c>
    </row>
    <row r="1886" spans="1:13" x14ac:dyDescent="0.25">
      <c r="A1886">
        <v>6637440</v>
      </c>
      <c r="B1886" t="s">
        <v>7691</v>
      </c>
      <c r="C1886" t="str">
        <f>""</f>
        <v/>
      </c>
      <c r="D1886" t="str">
        <f>"9783110627176"</f>
        <v>9783110627176</v>
      </c>
      <c r="E1886" t="s">
        <v>350</v>
      </c>
      <c r="F1886" s="1">
        <v>44249</v>
      </c>
      <c r="G1886" t="s">
        <v>7692</v>
      </c>
      <c r="H1886" t="s">
        <v>7693</v>
      </c>
      <c r="L1886" t="s">
        <v>20</v>
      </c>
      <c r="M1886" t="s">
        <v>7694</v>
      </c>
    </row>
    <row r="1887" spans="1:13" x14ac:dyDescent="0.25">
      <c r="A1887">
        <v>6637441</v>
      </c>
      <c r="B1887" t="s">
        <v>7695</v>
      </c>
      <c r="C1887" t="str">
        <f>""</f>
        <v/>
      </c>
      <c r="D1887" t="str">
        <f>"9783110642261"</f>
        <v>9783110642261</v>
      </c>
      <c r="E1887" t="s">
        <v>350</v>
      </c>
      <c r="F1887" s="1">
        <v>43528</v>
      </c>
      <c r="G1887" t="s">
        <v>7696</v>
      </c>
      <c r="H1887" t="s">
        <v>139</v>
      </c>
      <c r="L1887" t="s">
        <v>291</v>
      </c>
      <c r="M1887" t="s">
        <v>7697</v>
      </c>
    </row>
    <row r="1888" spans="1:13" x14ac:dyDescent="0.25">
      <c r="A1888">
        <v>6637447</v>
      </c>
      <c r="B1888" t="s">
        <v>7698</v>
      </c>
      <c r="C1888" t="str">
        <f>""</f>
        <v/>
      </c>
      <c r="D1888" t="str">
        <f>"9789048529056"</f>
        <v>9789048529056</v>
      </c>
      <c r="E1888" t="s">
        <v>4128</v>
      </c>
      <c r="F1888" s="1">
        <v>44081</v>
      </c>
      <c r="G1888" t="s">
        <v>7699</v>
      </c>
      <c r="H1888" t="s">
        <v>246</v>
      </c>
      <c r="L1888" t="s">
        <v>20</v>
      </c>
      <c r="M1888" t="s">
        <v>7700</v>
      </c>
    </row>
    <row r="1889" spans="1:13" x14ac:dyDescent="0.25">
      <c r="A1889">
        <v>6637450</v>
      </c>
      <c r="B1889" t="s">
        <v>7701</v>
      </c>
      <c r="C1889" t="str">
        <f>""</f>
        <v/>
      </c>
      <c r="D1889" t="str">
        <f>"9783110668926"</f>
        <v>9783110668926</v>
      </c>
      <c r="E1889" t="s">
        <v>350</v>
      </c>
      <c r="F1889" s="1">
        <v>44172</v>
      </c>
      <c r="G1889" t="s">
        <v>7702</v>
      </c>
      <c r="H1889" t="s">
        <v>5142</v>
      </c>
      <c r="L1889" t="s">
        <v>20</v>
      </c>
      <c r="M1889" t="s">
        <v>7703</v>
      </c>
    </row>
    <row r="1890" spans="1:13" x14ac:dyDescent="0.25">
      <c r="A1890">
        <v>6637451</v>
      </c>
      <c r="B1890" t="s">
        <v>7704</v>
      </c>
      <c r="C1890" t="str">
        <f>""</f>
        <v/>
      </c>
      <c r="D1890" t="str">
        <f>"9783110671773"</f>
        <v>9783110671773</v>
      </c>
      <c r="E1890" t="s">
        <v>350</v>
      </c>
      <c r="F1890" s="1">
        <v>44130</v>
      </c>
      <c r="G1890" t="s">
        <v>4364</v>
      </c>
      <c r="H1890" t="s">
        <v>288</v>
      </c>
      <c r="L1890" t="s">
        <v>20</v>
      </c>
      <c r="M1890" t="s">
        <v>7705</v>
      </c>
    </row>
    <row r="1891" spans="1:13" x14ac:dyDescent="0.25">
      <c r="A1891">
        <v>6637452</v>
      </c>
      <c r="B1891" t="s">
        <v>7706</v>
      </c>
      <c r="C1891" t="str">
        <f>""</f>
        <v/>
      </c>
      <c r="D1891" t="str">
        <f>"9783110622300"</f>
        <v>9783110622300</v>
      </c>
      <c r="E1891" t="s">
        <v>350</v>
      </c>
      <c r="F1891" s="1">
        <v>43731</v>
      </c>
      <c r="G1891" t="s">
        <v>7707</v>
      </c>
      <c r="H1891" t="s">
        <v>139</v>
      </c>
      <c r="L1891" t="s">
        <v>291</v>
      </c>
      <c r="M1891" t="s">
        <v>7708</v>
      </c>
    </row>
    <row r="1892" spans="1:13" x14ac:dyDescent="0.25">
      <c r="A1892">
        <v>6637456</v>
      </c>
      <c r="B1892" t="s">
        <v>7709</v>
      </c>
      <c r="C1892" t="str">
        <f>""</f>
        <v/>
      </c>
      <c r="D1892" t="str">
        <f>"9783110655582"</f>
        <v>9783110655582</v>
      </c>
      <c r="E1892" t="s">
        <v>350</v>
      </c>
      <c r="F1892" s="1">
        <v>44095</v>
      </c>
      <c r="G1892" t="s">
        <v>7710</v>
      </c>
      <c r="H1892" t="s">
        <v>101</v>
      </c>
      <c r="L1892" t="s">
        <v>20</v>
      </c>
      <c r="M1892" t="s">
        <v>7711</v>
      </c>
    </row>
    <row r="1893" spans="1:13" x14ac:dyDescent="0.25">
      <c r="A1893">
        <v>6637462</v>
      </c>
      <c r="B1893" t="s">
        <v>7712</v>
      </c>
      <c r="C1893" t="str">
        <f>""</f>
        <v/>
      </c>
      <c r="D1893" t="str">
        <f>"9789048544509"</f>
        <v>9789048544509</v>
      </c>
      <c r="E1893" t="s">
        <v>4128</v>
      </c>
      <c r="F1893" s="1">
        <v>43808</v>
      </c>
      <c r="G1893" t="s">
        <v>7713</v>
      </c>
      <c r="H1893" t="s">
        <v>3289</v>
      </c>
      <c r="L1893" t="s">
        <v>20</v>
      </c>
      <c r="M1893" t="s">
        <v>7714</v>
      </c>
    </row>
    <row r="1894" spans="1:13" x14ac:dyDescent="0.25">
      <c r="A1894">
        <v>6637463</v>
      </c>
      <c r="B1894" t="s">
        <v>7715</v>
      </c>
      <c r="C1894" t="str">
        <f>""</f>
        <v/>
      </c>
      <c r="D1894" t="str">
        <f>"9783110652741"</f>
        <v>9783110652741</v>
      </c>
      <c r="E1894" t="s">
        <v>350</v>
      </c>
      <c r="F1894" s="1">
        <v>43620</v>
      </c>
      <c r="G1894" t="s">
        <v>7716</v>
      </c>
      <c r="H1894" t="s">
        <v>1753</v>
      </c>
      <c r="I1894" t="s">
        <v>7717</v>
      </c>
      <c r="L1894" t="s">
        <v>291</v>
      </c>
      <c r="M1894" t="s">
        <v>7718</v>
      </c>
    </row>
    <row r="1895" spans="1:13" x14ac:dyDescent="0.25">
      <c r="A1895">
        <v>6637464</v>
      </c>
      <c r="B1895" t="s">
        <v>7719</v>
      </c>
      <c r="C1895" t="str">
        <f>""</f>
        <v/>
      </c>
      <c r="D1895" t="str">
        <f>"9789048537846"</f>
        <v>9789048537846</v>
      </c>
      <c r="E1895" t="s">
        <v>4128</v>
      </c>
      <c r="F1895" s="1">
        <v>43723</v>
      </c>
      <c r="G1895" t="s">
        <v>7720</v>
      </c>
      <c r="H1895" t="s">
        <v>246</v>
      </c>
      <c r="L1895" t="s">
        <v>20</v>
      </c>
      <c r="M1895" t="s">
        <v>7721</v>
      </c>
    </row>
    <row r="1896" spans="1:13" x14ac:dyDescent="0.25">
      <c r="A1896">
        <v>6637466</v>
      </c>
      <c r="B1896" t="s">
        <v>7722</v>
      </c>
      <c r="C1896" t="str">
        <f>""</f>
        <v/>
      </c>
      <c r="D1896" t="str">
        <f>"9781501516948"</f>
        <v>9781501516948</v>
      </c>
      <c r="E1896" t="s">
        <v>270</v>
      </c>
      <c r="F1896" s="1">
        <v>43787</v>
      </c>
      <c r="G1896" t="s">
        <v>7723</v>
      </c>
      <c r="H1896" t="s">
        <v>851</v>
      </c>
      <c r="J1896">
        <v>495.11700000000002</v>
      </c>
      <c r="L1896" t="s">
        <v>20</v>
      </c>
      <c r="M1896" t="s">
        <v>7724</v>
      </c>
    </row>
    <row r="1897" spans="1:13" x14ac:dyDescent="0.25">
      <c r="A1897">
        <v>6637469</v>
      </c>
      <c r="B1897" t="s">
        <v>7725</v>
      </c>
      <c r="C1897" t="str">
        <f>""</f>
        <v/>
      </c>
      <c r="D1897" t="str">
        <f>"9783110677263"</f>
        <v>9783110677263</v>
      </c>
      <c r="E1897" t="s">
        <v>350</v>
      </c>
      <c r="F1897" s="1">
        <v>44053</v>
      </c>
      <c r="G1897" t="s">
        <v>7726</v>
      </c>
      <c r="H1897" t="s">
        <v>310</v>
      </c>
      <c r="L1897" t="s">
        <v>20</v>
      </c>
      <c r="M1897" t="s">
        <v>7727</v>
      </c>
    </row>
    <row r="1898" spans="1:13" x14ac:dyDescent="0.25">
      <c r="A1898">
        <v>6637470</v>
      </c>
      <c r="B1898" t="s">
        <v>7728</v>
      </c>
      <c r="C1898" t="str">
        <f>""</f>
        <v/>
      </c>
      <c r="D1898" t="str">
        <f>"9783110689402"</f>
        <v>9783110689402</v>
      </c>
      <c r="E1898" t="s">
        <v>350</v>
      </c>
      <c r="F1898" s="1">
        <v>44081</v>
      </c>
      <c r="G1898" t="s">
        <v>7729</v>
      </c>
      <c r="H1898" t="s">
        <v>951</v>
      </c>
      <c r="L1898" t="s">
        <v>291</v>
      </c>
      <c r="M1898" t="s">
        <v>7730</v>
      </c>
    </row>
    <row r="1899" spans="1:13" x14ac:dyDescent="0.25">
      <c r="A1899">
        <v>6637472</v>
      </c>
      <c r="B1899" t="s">
        <v>7731</v>
      </c>
      <c r="C1899" t="str">
        <f>""</f>
        <v/>
      </c>
      <c r="D1899" t="str">
        <f>"9783110634440"</f>
        <v>9783110634440</v>
      </c>
      <c r="E1899" t="s">
        <v>350</v>
      </c>
      <c r="F1899" s="1">
        <v>44004</v>
      </c>
      <c r="G1899" t="s">
        <v>7732</v>
      </c>
      <c r="H1899" t="s">
        <v>3454</v>
      </c>
      <c r="L1899" t="s">
        <v>20</v>
      </c>
      <c r="M1899" t="s">
        <v>7733</v>
      </c>
    </row>
    <row r="1900" spans="1:13" x14ac:dyDescent="0.25">
      <c r="A1900">
        <v>6637473</v>
      </c>
      <c r="B1900" t="s">
        <v>7734</v>
      </c>
      <c r="C1900" t="str">
        <f>""</f>
        <v/>
      </c>
      <c r="D1900" t="str">
        <f>"9783110671490"</f>
        <v>9783110671490</v>
      </c>
      <c r="E1900" t="s">
        <v>350</v>
      </c>
      <c r="F1900" s="1">
        <v>44181</v>
      </c>
      <c r="G1900" t="s">
        <v>7735</v>
      </c>
      <c r="H1900" t="s">
        <v>1178</v>
      </c>
      <c r="J1900">
        <v>515.35299999999995</v>
      </c>
      <c r="L1900" t="s">
        <v>20</v>
      </c>
      <c r="M1900" t="s">
        <v>7736</v>
      </c>
    </row>
    <row r="1901" spans="1:13" x14ac:dyDescent="0.25">
      <c r="A1901">
        <v>6637477</v>
      </c>
      <c r="B1901" t="s">
        <v>7737</v>
      </c>
      <c r="C1901" t="str">
        <f>""</f>
        <v/>
      </c>
      <c r="D1901" t="str">
        <f>"9783110652543"</f>
        <v>9783110652543</v>
      </c>
      <c r="E1901" t="s">
        <v>350</v>
      </c>
      <c r="F1901" s="1">
        <v>43787</v>
      </c>
      <c r="G1901" t="s">
        <v>7738</v>
      </c>
      <c r="H1901" t="s">
        <v>7739</v>
      </c>
      <c r="L1901" t="s">
        <v>291</v>
      </c>
      <c r="M1901" t="s">
        <v>7740</v>
      </c>
    </row>
    <row r="1902" spans="1:13" x14ac:dyDescent="0.25">
      <c r="A1902">
        <v>6637485</v>
      </c>
      <c r="B1902" t="s">
        <v>7741</v>
      </c>
      <c r="C1902" t="str">
        <f>""</f>
        <v/>
      </c>
      <c r="D1902" t="str">
        <f>"9783110618839"</f>
        <v>9783110618839</v>
      </c>
      <c r="E1902" t="s">
        <v>350</v>
      </c>
      <c r="F1902" s="1">
        <v>43956</v>
      </c>
      <c r="G1902" t="s">
        <v>7742</v>
      </c>
      <c r="H1902" t="s">
        <v>7743</v>
      </c>
      <c r="L1902" t="s">
        <v>20</v>
      </c>
      <c r="M1902" t="s">
        <v>7744</v>
      </c>
    </row>
    <row r="1903" spans="1:13" x14ac:dyDescent="0.25">
      <c r="A1903">
        <v>6637489</v>
      </c>
      <c r="B1903" t="s">
        <v>7745</v>
      </c>
      <c r="C1903" t="str">
        <f>""</f>
        <v/>
      </c>
      <c r="D1903" t="str">
        <f>"9783110665093"</f>
        <v>9783110665093</v>
      </c>
      <c r="E1903" t="s">
        <v>350</v>
      </c>
      <c r="F1903" s="1">
        <v>44032</v>
      </c>
      <c r="G1903" t="s">
        <v>4351</v>
      </c>
      <c r="H1903" t="s">
        <v>70</v>
      </c>
      <c r="L1903" t="s">
        <v>291</v>
      </c>
      <c r="M1903" t="s">
        <v>7746</v>
      </c>
    </row>
    <row r="1904" spans="1:13" x14ac:dyDescent="0.25">
      <c r="A1904">
        <v>6637491</v>
      </c>
      <c r="B1904" t="s">
        <v>7747</v>
      </c>
      <c r="C1904" t="str">
        <f>"9783110608113"</f>
        <v>9783110608113</v>
      </c>
      <c r="D1904" t="str">
        <f>"9783110629057"</f>
        <v>9783110629057</v>
      </c>
      <c r="E1904" t="s">
        <v>350</v>
      </c>
      <c r="F1904" s="1">
        <v>43542</v>
      </c>
      <c r="G1904" t="s">
        <v>7748</v>
      </c>
      <c r="H1904" t="s">
        <v>1753</v>
      </c>
      <c r="L1904" t="s">
        <v>291</v>
      </c>
      <c r="M1904" t="s">
        <v>7749</v>
      </c>
    </row>
    <row r="1905" spans="1:13" x14ac:dyDescent="0.25">
      <c r="A1905">
        <v>6637493</v>
      </c>
      <c r="B1905" t="s">
        <v>7750</v>
      </c>
      <c r="C1905" t="str">
        <f>""</f>
        <v/>
      </c>
      <c r="D1905" t="str">
        <f>"9789048551873"</f>
        <v>9789048551873</v>
      </c>
      <c r="E1905" t="s">
        <v>4128</v>
      </c>
      <c r="F1905" s="1">
        <v>43956</v>
      </c>
      <c r="G1905" t="s">
        <v>7751</v>
      </c>
      <c r="H1905" t="s">
        <v>288</v>
      </c>
      <c r="L1905" t="s">
        <v>20</v>
      </c>
      <c r="M1905" t="s">
        <v>7752</v>
      </c>
    </row>
    <row r="1906" spans="1:13" x14ac:dyDescent="0.25">
      <c r="A1906">
        <v>6637495</v>
      </c>
      <c r="B1906" t="s">
        <v>7753</v>
      </c>
      <c r="C1906" t="str">
        <f>""</f>
        <v/>
      </c>
      <c r="D1906" t="str">
        <f>"9783110669367"</f>
        <v>9783110669367</v>
      </c>
      <c r="E1906" t="s">
        <v>350</v>
      </c>
      <c r="F1906" s="1">
        <v>44158</v>
      </c>
      <c r="G1906" t="s">
        <v>7754</v>
      </c>
      <c r="H1906" t="s">
        <v>7755</v>
      </c>
      <c r="L1906" t="s">
        <v>291</v>
      </c>
      <c r="M1906" t="s">
        <v>7756</v>
      </c>
    </row>
    <row r="1907" spans="1:13" x14ac:dyDescent="0.25">
      <c r="A1907">
        <v>6637496</v>
      </c>
      <c r="B1907" t="s">
        <v>7757</v>
      </c>
      <c r="C1907" t="str">
        <f>""</f>
        <v/>
      </c>
      <c r="D1907" t="str">
        <f>"9789048535002"</f>
        <v>9789048535002</v>
      </c>
      <c r="E1907" t="s">
        <v>4128</v>
      </c>
      <c r="F1907" s="1">
        <v>43738</v>
      </c>
      <c r="G1907" t="s">
        <v>7758</v>
      </c>
      <c r="H1907" t="s">
        <v>7759</v>
      </c>
      <c r="L1907" t="s">
        <v>20</v>
      </c>
      <c r="M1907" t="s">
        <v>7760</v>
      </c>
    </row>
    <row r="1908" spans="1:13" x14ac:dyDescent="0.25">
      <c r="A1908">
        <v>6637497</v>
      </c>
      <c r="B1908" t="s">
        <v>7761</v>
      </c>
      <c r="C1908" t="str">
        <f>"9783110622041"</f>
        <v>9783110622041</v>
      </c>
      <c r="D1908" t="str">
        <f>"9783110622096"</f>
        <v>9783110622096</v>
      </c>
      <c r="E1908" t="s">
        <v>350</v>
      </c>
      <c r="F1908" s="1">
        <v>43542</v>
      </c>
      <c r="G1908" t="s">
        <v>7762</v>
      </c>
      <c r="H1908" t="s">
        <v>70</v>
      </c>
      <c r="L1908" t="s">
        <v>4340</v>
      </c>
      <c r="M1908" t="s">
        <v>7763</v>
      </c>
    </row>
    <row r="1909" spans="1:13" x14ac:dyDescent="0.25">
      <c r="A1909">
        <v>6637498</v>
      </c>
      <c r="B1909" t="s">
        <v>7764</v>
      </c>
      <c r="C1909" t="str">
        <f>""</f>
        <v/>
      </c>
      <c r="D1909" t="str">
        <f>"9783110628715"</f>
        <v>9783110628715</v>
      </c>
      <c r="E1909" t="s">
        <v>350</v>
      </c>
      <c r="F1909" s="1">
        <v>43620</v>
      </c>
      <c r="G1909" t="s">
        <v>7765</v>
      </c>
      <c r="H1909" t="s">
        <v>70</v>
      </c>
      <c r="J1909">
        <v>809.93350999999996</v>
      </c>
      <c r="L1909" t="s">
        <v>20</v>
      </c>
      <c r="M1909" t="s">
        <v>7766</v>
      </c>
    </row>
    <row r="1910" spans="1:13" x14ac:dyDescent="0.25">
      <c r="A1910">
        <v>6637504</v>
      </c>
      <c r="B1910" t="s">
        <v>7767</v>
      </c>
      <c r="C1910" t="str">
        <f>""</f>
        <v/>
      </c>
      <c r="D1910" t="str">
        <f>"9783110641042"</f>
        <v>9783110641042</v>
      </c>
      <c r="E1910" t="s">
        <v>350</v>
      </c>
      <c r="F1910" s="1">
        <v>43746</v>
      </c>
      <c r="G1910" t="s">
        <v>7768</v>
      </c>
      <c r="H1910" t="s">
        <v>662</v>
      </c>
      <c r="L1910" t="s">
        <v>291</v>
      </c>
      <c r="M1910" t="s">
        <v>7769</v>
      </c>
    </row>
    <row r="1911" spans="1:13" x14ac:dyDescent="0.25">
      <c r="A1911">
        <v>6637506</v>
      </c>
      <c r="B1911" t="s">
        <v>7770</v>
      </c>
      <c r="C1911" t="str">
        <f>"9783110589603"</f>
        <v>9783110589603</v>
      </c>
      <c r="D1911" t="str">
        <f>"9783110591040"</f>
        <v>9783110591040</v>
      </c>
      <c r="E1911" t="s">
        <v>350</v>
      </c>
      <c r="F1911" s="1">
        <v>43710</v>
      </c>
      <c r="G1911" t="s">
        <v>7771</v>
      </c>
      <c r="H1911" t="s">
        <v>108</v>
      </c>
      <c r="L1911" t="s">
        <v>20</v>
      </c>
      <c r="M1911" t="s">
        <v>7772</v>
      </c>
    </row>
    <row r="1912" spans="1:13" x14ac:dyDescent="0.25">
      <c r="A1912">
        <v>6637510</v>
      </c>
      <c r="B1912" t="s">
        <v>7773</v>
      </c>
      <c r="C1912" t="str">
        <f>""</f>
        <v/>
      </c>
      <c r="D1912" t="str">
        <f>"9783110639452"</f>
        <v>9783110639452</v>
      </c>
      <c r="E1912" t="s">
        <v>350</v>
      </c>
      <c r="F1912" s="1">
        <v>44305</v>
      </c>
      <c r="G1912" t="s">
        <v>7774</v>
      </c>
      <c r="H1912" t="s">
        <v>288</v>
      </c>
      <c r="L1912" t="s">
        <v>20</v>
      </c>
      <c r="M1912" t="s">
        <v>7775</v>
      </c>
    </row>
    <row r="1913" spans="1:13" x14ac:dyDescent="0.25">
      <c r="A1913">
        <v>6637512</v>
      </c>
      <c r="B1913" t="s">
        <v>7776</v>
      </c>
      <c r="C1913" t="str">
        <f>""</f>
        <v/>
      </c>
      <c r="D1913" t="str">
        <f>"9783110624113"</f>
        <v>9783110624113</v>
      </c>
      <c r="E1913" t="s">
        <v>350</v>
      </c>
      <c r="F1913" s="1">
        <v>43620</v>
      </c>
      <c r="G1913" t="s">
        <v>7777</v>
      </c>
      <c r="H1913" t="s">
        <v>1562</v>
      </c>
      <c r="L1913" t="s">
        <v>291</v>
      </c>
      <c r="M1913" t="s">
        <v>7778</v>
      </c>
    </row>
    <row r="1914" spans="1:13" x14ac:dyDescent="0.25">
      <c r="A1914">
        <v>6637515</v>
      </c>
      <c r="B1914" t="s">
        <v>7779</v>
      </c>
      <c r="C1914" t="str">
        <f>""</f>
        <v/>
      </c>
      <c r="D1914" t="str">
        <f>"9783035619195"</f>
        <v>9783035619195</v>
      </c>
      <c r="E1914" t="s">
        <v>350</v>
      </c>
      <c r="F1914" s="1">
        <v>43542</v>
      </c>
      <c r="G1914" t="s">
        <v>7780</v>
      </c>
      <c r="H1914" t="s">
        <v>806</v>
      </c>
      <c r="L1914" t="s">
        <v>291</v>
      </c>
      <c r="M1914" t="s">
        <v>7781</v>
      </c>
    </row>
    <row r="1915" spans="1:13" x14ac:dyDescent="0.25">
      <c r="A1915">
        <v>6637519</v>
      </c>
      <c r="B1915" t="s">
        <v>7782</v>
      </c>
      <c r="C1915" t="str">
        <f>""</f>
        <v/>
      </c>
      <c r="D1915" t="str">
        <f>"9783110689112"</f>
        <v>9783110689112</v>
      </c>
      <c r="E1915" t="s">
        <v>350</v>
      </c>
      <c r="F1915" s="1">
        <v>44130</v>
      </c>
      <c r="G1915" t="s">
        <v>7783</v>
      </c>
      <c r="H1915" t="s">
        <v>70</v>
      </c>
      <c r="J1915">
        <v>808.02700000000004</v>
      </c>
      <c r="L1915" t="s">
        <v>20</v>
      </c>
      <c r="M1915" t="s">
        <v>7784</v>
      </c>
    </row>
    <row r="1916" spans="1:13" x14ac:dyDescent="0.25">
      <c r="A1916">
        <v>6637521</v>
      </c>
      <c r="B1916" t="s">
        <v>7785</v>
      </c>
      <c r="C1916" t="str">
        <f>""</f>
        <v/>
      </c>
      <c r="D1916" t="str">
        <f>"9783110674088"</f>
        <v>9783110674088</v>
      </c>
      <c r="E1916" t="s">
        <v>350</v>
      </c>
      <c r="F1916" s="1">
        <v>44144</v>
      </c>
      <c r="G1916" t="s">
        <v>7786</v>
      </c>
      <c r="H1916" t="s">
        <v>3047</v>
      </c>
      <c r="L1916" t="s">
        <v>20</v>
      </c>
      <c r="M1916" t="s">
        <v>7787</v>
      </c>
    </row>
    <row r="1917" spans="1:13" x14ac:dyDescent="0.25">
      <c r="A1917">
        <v>6637524</v>
      </c>
      <c r="B1917" t="s">
        <v>7788</v>
      </c>
      <c r="C1917" t="str">
        <f>""</f>
        <v/>
      </c>
      <c r="D1917" t="str">
        <f>"9783110661576"</f>
        <v>9783110661576</v>
      </c>
      <c r="E1917" t="s">
        <v>350</v>
      </c>
      <c r="F1917" s="1">
        <v>43759</v>
      </c>
      <c r="G1917" t="s">
        <v>7789</v>
      </c>
      <c r="H1917" t="s">
        <v>70</v>
      </c>
      <c r="L1917" t="s">
        <v>20</v>
      </c>
      <c r="M1917" t="s">
        <v>7790</v>
      </c>
    </row>
    <row r="1918" spans="1:13" x14ac:dyDescent="0.25">
      <c r="A1918">
        <v>6637526</v>
      </c>
      <c r="B1918" t="s">
        <v>7791</v>
      </c>
      <c r="C1918" t="str">
        <f>""</f>
        <v/>
      </c>
      <c r="D1918" t="str">
        <f>"9783110647044"</f>
        <v>9783110647044</v>
      </c>
      <c r="E1918" t="s">
        <v>350</v>
      </c>
      <c r="F1918" s="1">
        <v>44067</v>
      </c>
      <c r="G1918" t="s">
        <v>7792</v>
      </c>
      <c r="H1918" t="s">
        <v>7793</v>
      </c>
      <c r="L1918" t="s">
        <v>20</v>
      </c>
      <c r="M1918" t="s">
        <v>7794</v>
      </c>
    </row>
    <row r="1919" spans="1:13" x14ac:dyDescent="0.25">
      <c r="A1919">
        <v>6637527</v>
      </c>
      <c r="B1919" t="s">
        <v>7795</v>
      </c>
      <c r="C1919" t="str">
        <f>""</f>
        <v/>
      </c>
      <c r="D1919" t="str">
        <f>"9783110656725"</f>
        <v>9783110656725</v>
      </c>
      <c r="E1919" t="s">
        <v>350</v>
      </c>
      <c r="F1919" s="1">
        <v>43556</v>
      </c>
      <c r="G1919" t="s">
        <v>7796</v>
      </c>
      <c r="H1919" t="s">
        <v>3977</v>
      </c>
      <c r="L1919" t="s">
        <v>291</v>
      </c>
      <c r="M1919" t="s">
        <v>7797</v>
      </c>
    </row>
    <row r="1920" spans="1:13" x14ac:dyDescent="0.25">
      <c r="A1920">
        <v>6637528</v>
      </c>
      <c r="B1920" t="s">
        <v>7798</v>
      </c>
      <c r="C1920" t="str">
        <f>""</f>
        <v/>
      </c>
      <c r="D1920" t="str">
        <f>"9783110638127"</f>
        <v>9783110638127</v>
      </c>
      <c r="E1920" t="s">
        <v>350</v>
      </c>
      <c r="F1920" s="1">
        <v>44172</v>
      </c>
      <c r="G1920" t="s">
        <v>7799</v>
      </c>
      <c r="H1920" t="s">
        <v>70</v>
      </c>
      <c r="L1920" t="s">
        <v>291</v>
      </c>
      <c r="M1920" t="s">
        <v>7800</v>
      </c>
    </row>
    <row r="1921" spans="1:13" x14ac:dyDescent="0.25">
      <c r="A1921">
        <v>6637529</v>
      </c>
      <c r="B1921" t="s">
        <v>7801</v>
      </c>
      <c r="C1921" t="str">
        <f>""</f>
        <v/>
      </c>
      <c r="D1921" t="str">
        <f>"9789048540020"</f>
        <v>9789048540020</v>
      </c>
      <c r="E1921" t="s">
        <v>4128</v>
      </c>
      <c r="F1921" s="1">
        <v>43572</v>
      </c>
      <c r="G1921" t="s">
        <v>7802</v>
      </c>
      <c r="H1921" t="s">
        <v>1753</v>
      </c>
      <c r="J1921" t="s">
        <v>7803</v>
      </c>
      <c r="L1921" t="s">
        <v>20</v>
      </c>
      <c r="M1921" t="s">
        <v>7804</v>
      </c>
    </row>
    <row r="1922" spans="1:13" x14ac:dyDescent="0.25">
      <c r="A1922">
        <v>6637532</v>
      </c>
      <c r="B1922" t="s">
        <v>7805</v>
      </c>
      <c r="C1922" t="str">
        <f>""</f>
        <v/>
      </c>
      <c r="D1922" t="str">
        <f>"9783110695380"</f>
        <v>9783110695380</v>
      </c>
      <c r="E1922" t="s">
        <v>350</v>
      </c>
      <c r="F1922" s="1">
        <v>44032</v>
      </c>
      <c r="G1922" t="s">
        <v>7806</v>
      </c>
      <c r="H1922" t="s">
        <v>3289</v>
      </c>
      <c r="L1922" t="s">
        <v>291</v>
      </c>
      <c r="M1922" t="s">
        <v>7807</v>
      </c>
    </row>
    <row r="1923" spans="1:13" x14ac:dyDescent="0.25">
      <c r="A1923">
        <v>6637533</v>
      </c>
      <c r="B1923" t="s">
        <v>7808</v>
      </c>
      <c r="C1923" t="str">
        <f>""</f>
        <v/>
      </c>
      <c r="D1923" t="str">
        <f>"9789048550180"</f>
        <v>9789048550180</v>
      </c>
      <c r="E1923" t="s">
        <v>4128</v>
      </c>
      <c r="F1923" s="1">
        <v>43461</v>
      </c>
      <c r="G1923" t="s">
        <v>7809</v>
      </c>
      <c r="H1923" t="s">
        <v>64</v>
      </c>
      <c r="L1923" t="s">
        <v>20</v>
      </c>
      <c r="M1923" t="s">
        <v>7810</v>
      </c>
    </row>
    <row r="1924" spans="1:13" x14ac:dyDescent="0.25">
      <c r="A1924">
        <v>6637537</v>
      </c>
      <c r="B1924" t="s">
        <v>7811</v>
      </c>
      <c r="C1924" t="str">
        <f>"9783110617658"</f>
        <v>9783110617658</v>
      </c>
      <c r="D1924" t="str">
        <f>"9783110621051"</f>
        <v>9783110621051</v>
      </c>
      <c r="E1924" t="s">
        <v>350</v>
      </c>
      <c r="F1924" s="1">
        <v>43710</v>
      </c>
      <c r="G1924" t="s">
        <v>7812</v>
      </c>
      <c r="H1924" t="s">
        <v>3047</v>
      </c>
      <c r="L1924" t="s">
        <v>20</v>
      </c>
      <c r="M1924" t="s">
        <v>7813</v>
      </c>
    </row>
    <row r="1925" spans="1:13" x14ac:dyDescent="0.25">
      <c r="A1925">
        <v>6637538</v>
      </c>
      <c r="B1925" t="s">
        <v>7814</v>
      </c>
      <c r="C1925" t="str">
        <f>""</f>
        <v/>
      </c>
      <c r="D1925" t="str">
        <f>"9783110627121"</f>
        <v>9783110627121</v>
      </c>
      <c r="E1925" t="s">
        <v>350</v>
      </c>
      <c r="F1925" s="1">
        <v>43696</v>
      </c>
      <c r="G1925" t="s">
        <v>7815</v>
      </c>
      <c r="H1925" t="s">
        <v>3047</v>
      </c>
      <c r="L1925" t="s">
        <v>291</v>
      </c>
      <c r="M1925" t="s">
        <v>7816</v>
      </c>
    </row>
    <row r="1926" spans="1:13" x14ac:dyDescent="0.25">
      <c r="A1926">
        <v>6637539</v>
      </c>
      <c r="B1926" t="s">
        <v>7817</v>
      </c>
      <c r="C1926" t="str">
        <f>""</f>
        <v/>
      </c>
      <c r="D1926" t="str">
        <f>"9783110693973"</f>
        <v>9783110693973</v>
      </c>
      <c r="E1926" t="s">
        <v>350</v>
      </c>
      <c r="F1926" s="1">
        <v>44032</v>
      </c>
      <c r="G1926" t="s">
        <v>7818</v>
      </c>
      <c r="H1926" t="s">
        <v>955</v>
      </c>
      <c r="L1926" t="s">
        <v>291</v>
      </c>
      <c r="M1926" t="s">
        <v>7819</v>
      </c>
    </row>
    <row r="1927" spans="1:13" x14ac:dyDescent="0.25">
      <c r="A1927">
        <v>6637541</v>
      </c>
      <c r="B1927" t="s">
        <v>7820</v>
      </c>
      <c r="C1927" t="str">
        <f>""</f>
        <v/>
      </c>
      <c r="D1927" t="str">
        <f>"9783110692174"</f>
        <v>9783110692174</v>
      </c>
      <c r="E1927" t="s">
        <v>350</v>
      </c>
      <c r="F1927" s="1">
        <v>44032</v>
      </c>
      <c r="G1927" t="s">
        <v>3965</v>
      </c>
      <c r="H1927" t="s">
        <v>70</v>
      </c>
      <c r="L1927" t="s">
        <v>291</v>
      </c>
      <c r="M1927" t="s">
        <v>7821</v>
      </c>
    </row>
    <row r="1928" spans="1:13" x14ac:dyDescent="0.25">
      <c r="A1928">
        <v>6637544</v>
      </c>
      <c r="B1928" t="s">
        <v>7822</v>
      </c>
      <c r="C1928" t="str">
        <f>""</f>
        <v/>
      </c>
      <c r="D1928" t="str">
        <f>"9783110669831"</f>
        <v>9783110669831</v>
      </c>
      <c r="E1928" t="s">
        <v>350</v>
      </c>
      <c r="F1928" s="1">
        <v>44116</v>
      </c>
      <c r="G1928" t="s">
        <v>7823</v>
      </c>
      <c r="H1928" t="s">
        <v>851</v>
      </c>
      <c r="L1928" t="s">
        <v>4340</v>
      </c>
      <c r="M1928" t="s">
        <v>7824</v>
      </c>
    </row>
    <row r="1929" spans="1:13" x14ac:dyDescent="0.25">
      <c r="A1929">
        <v>6637545</v>
      </c>
      <c r="B1929" t="s">
        <v>7825</v>
      </c>
      <c r="C1929" t="str">
        <f>"9783110596786"</f>
        <v>9783110596786</v>
      </c>
      <c r="D1929" t="str">
        <f>"9783110599572"</f>
        <v>9783110599572</v>
      </c>
      <c r="E1929" t="s">
        <v>350</v>
      </c>
      <c r="F1929" s="1">
        <v>43682</v>
      </c>
      <c r="G1929" t="s">
        <v>7826</v>
      </c>
      <c r="H1929" t="s">
        <v>851</v>
      </c>
      <c r="J1929">
        <v>480.02850000000001</v>
      </c>
      <c r="L1929" t="s">
        <v>20</v>
      </c>
      <c r="M1929" t="s">
        <v>7827</v>
      </c>
    </row>
    <row r="1930" spans="1:13" x14ac:dyDescent="0.25">
      <c r="A1930">
        <v>6637546</v>
      </c>
      <c r="B1930" t="s">
        <v>7828</v>
      </c>
      <c r="C1930" t="str">
        <f>""</f>
        <v/>
      </c>
      <c r="D1930" t="str">
        <f>"9783110611229"</f>
        <v>9783110611229</v>
      </c>
      <c r="E1930" t="s">
        <v>350</v>
      </c>
      <c r="F1930" s="1">
        <v>44277</v>
      </c>
      <c r="G1930" t="s">
        <v>7829</v>
      </c>
      <c r="H1930" t="s">
        <v>246</v>
      </c>
      <c r="L1930" t="s">
        <v>291</v>
      </c>
      <c r="M1930" t="s">
        <v>7830</v>
      </c>
    </row>
    <row r="1931" spans="1:13" x14ac:dyDescent="0.25">
      <c r="A1931">
        <v>6637548</v>
      </c>
      <c r="B1931" t="s">
        <v>7831</v>
      </c>
      <c r="C1931" t="str">
        <f>""</f>
        <v/>
      </c>
      <c r="D1931" t="str">
        <f>"9789048544905"</f>
        <v>9789048544905</v>
      </c>
      <c r="E1931" t="s">
        <v>4128</v>
      </c>
      <c r="F1931" s="1">
        <v>43816</v>
      </c>
      <c r="G1931" t="s">
        <v>7832</v>
      </c>
      <c r="H1931" t="s">
        <v>7833</v>
      </c>
      <c r="L1931" t="s">
        <v>20</v>
      </c>
      <c r="M1931" t="s">
        <v>7834</v>
      </c>
    </row>
    <row r="1932" spans="1:13" x14ac:dyDescent="0.25">
      <c r="A1932">
        <v>6637551</v>
      </c>
      <c r="B1932" t="s">
        <v>7835</v>
      </c>
      <c r="C1932" t="str">
        <f>""</f>
        <v/>
      </c>
      <c r="D1932" t="str">
        <f>"9783110664546"</f>
        <v>9783110664546</v>
      </c>
      <c r="E1932" t="s">
        <v>350</v>
      </c>
      <c r="F1932" s="1">
        <v>43969</v>
      </c>
      <c r="G1932" t="s">
        <v>7836</v>
      </c>
      <c r="H1932" t="s">
        <v>851</v>
      </c>
      <c r="L1932" t="s">
        <v>291</v>
      </c>
      <c r="M1932" t="s">
        <v>7837</v>
      </c>
    </row>
    <row r="1933" spans="1:13" x14ac:dyDescent="0.25">
      <c r="A1933">
        <v>6637552</v>
      </c>
      <c r="B1933" t="s">
        <v>7838</v>
      </c>
      <c r="C1933" t="str">
        <f>""</f>
        <v/>
      </c>
      <c r="D1933" t="str">
        <f>"9783110665833"</f>
        <v>9783110665833</v>
      </c>
      <c r="E1933" t="s">
        <v>350</v>
      </c>
      <c r="F1933" s="1">
        <v>43787</v>
      </c>
      <c r="G1933" t="s">
        <v>7839</v>
      </c>
      <c r="H1933" t="s">
        <v>70</v>
      </c>
      <c r="J1933">
        <v>840.90070000000003</v>
      </c>
      <c r="L1933" t="s">
        <v>1279</v>
      </c>
      <c r="M1933" t="s">
        <v>7840</v>
      </c>
    </row>
    <row r="1934" spans="1:13" x14ac:dyDescent="0.25">
      <c r="A1934">
        <v>6637554</v>
      </c>
      <c r="B1934" t="s">
        <v>7841</v>
      </c>
      <c r="C1934" t="str">
        <f>""</f>
        <v/>
      </c>
      <c r="D1934" t="str">
        <f>"9783110693959"</f>
        <v>9783110693959</v>
      </c>
      <c r="E1934" t="s">
        <v>350</v>
      </c>
      <c r="F1934" s="1">
        <v>44081</v>
      </c>
      <c r="G1934" t="s">
        <v>7842</v>
      </c>
      <c r="H1934" t="s">
        <v>70</v>
      </c>
      <c r="L1934" t="s">
        <v>20</v>
      </c>
      <c r="M1934" t="s">
        <v>7843</v>
      </c>
    </row>
    <row r="1935" spans="1:13" x14ac:dyDescent="0.25">
      <c r="A1935">
        <v>6637557</v>
      </c>
      <c r="B1935" t="s">
        <v>7844</v>
      </c>
      <c r="C1935" t="str">
        <f>""</f>
        <v/>
      </c>
      <c r="D1935" t="str">
        <f>"9783110628777"</f>
        <v>9783110628777</v>
      </c>
      <c r="E1935" t="s">
        <v>350</v>
      </c>
      <c r="F1935" s="1">
        <v>43633</v>
      </c>
      <c r="G1935" t="s">
        <v>7845</v>
      </c>
      <c r="H1935" t="s">
        <v>70</v>
      </c>
      <c r="L1935" t="s">
        <v>20</v>
      </c>
      <c r="M1935" t="s">
        <v>7846</v>
      </c>
    </row>
    <row r="1936" spans="1:13" x14ac:dyDescent="0.25">
      <c r="A1936">
        <v>6637560</v>
      </c>
      <c r="B1936" t="s">
        <v>7847</v>
      </c>
      <c r="C1936" t="str">
        <f>""</f>
        <v/>
      </c>
      <c r="D1936" t="str">
        <f>"9783110664713"</f>
        <v>9783110664713</v>
      </c>
      <c r="E1936" t="s">
        <v>350</v>
      </c>
      <c r="F1936" s="1">
        <v>43899</v>
      </c>
      <c r="G1936" t="s">
        <v>7848</v>
      </c>
      <c r="H1936" t="s">
        <v>288</v>
      </c>
      <c r="L1936" t="s">
        <v>20</v>
      </c>
      <c r="M1936" t="s">
        <v>7849</v>
      </c>
    </row>
    <row r="1937" spans="1:13" x14ac:dyDescent="0.25">
      <c r="A1937">
        <v>6637561</v>
      </c>
      <c r="B1937" t="s">
        <v>7850</v>
      </c>
      <c r="C1937" t="str">
        <f>"9783110600858"</f>
        <v>9783110600858</v>
      </c>
      <c r="D1937" t="str">
        <f>"9783110599978"</f>
        <v>9783110599978</v>
      </c>
      <c r="E1937" t="s">
        <v>350</v>
      </c>
      <c r="F1937" s="1">
        <v>44116</v>
      </c>
      <c r="G1937" t="s">
        <v>7851</v>
      </c>
      <c r="H1937" t="s">
        <v>3047</v>
      </c>
      <c r="L1937" t="s">
        <v>20</v>
      </c>
      <c r="M1937" t="s">
        <v>7852</v>
      </c>
    </row>
    <row r="1938" spans="1:13" x14ac:dyDescent="0.25">
      <c r="A1938">
        <v>6637564</v>
      </c>
      <c r="B1938" t="s">
        <v>7853</v>
      </c>
      <c r="C1938" t="str">
        <f>""</f>
        <v/>
      </c>
      <c r="D1938" t="str">
        <f>"9783110649789"</f>
        <v>9783110649789</v>
      </c>
      <c r="E1938" t="s">
        <v>350</v>
      </c>
      <c r="F1938" s="1">
        <v>43766</v>
      </c>
      <c r="G1938" t="s">
        <v>7854</v>
      </c>
      <c r="H1938" t="s">
        <v>288</v>
      </c>
      <c r="L1938" t="s">
        <v>20</v>
      </c>
      <c r="M1938" t="s">
        <v>7855</v>
      </c>
    </row>
    <row r="1939" spans="1:13" x14ac:dyDescent="0.25">
      <c r="A1939">
        <v>6637567</v>
      </c>
      <c r="B1939" t="s">
        <v>7856</v>
      </c>
      <c r="C1939" t="str">
        <f>""</f>
        <v/>
      </c>
      <c r="D1939" t="str">
        <f>"9783110610314"</f>
        <v>9783110610314</v>
      </c>
      <c r="E1939" t="s">
        <v>350</v>
      </c>
      <c r="F1939" s="1">
        <v>43633</v>
      </c>
      <c r="G1939" t="s">
        <v>7857</v>
      </c>
      <c r="H1939" t="s">
        <v>851</v>
      </c>
      <c r="L1939" t="s">
        <v>291</v>
      </c>
      <c r="M1939" t="s">
        <v>7858</v>
      </c>
    </row>
    <row r="1940" spans="1:13" x14ac:dyDescent="0.25">
      <c r="A1940">
        <v>6637569</v>
      </c>
      <c r="B1940" t="s">
        <v>7859</v>
      </c>
      <c r="C1940" t="str">
        <f>""</f>
        <v/>
      </c>
      <c r="D1940" t="str">
        <f>"9783110619003"</f>
        <v>9783110619003</v>
      </c>
      <c r="E1940" t="s">
        <v>350</v>
      </c>
      <c r="F1940" s="1">
        <v>44116</v>
      </c>
      <c r="G1940" t="s">
        <v>7860</v>
      </c>
      <c r="H1940" t="s">
        <v>70</v>
      </c>
      <c r="L1940" t="s">
        <v>20</v>
      </c>
      <c r="M1940" t="s">
        <v>7861</v>
      </c>
    </row>
    <row r="1941" spans="1:13" x14ac:dyDescent="0.25">
      <c r="A1941">
        <v>6637572</v>
      </c>
      <c r="B1941" t="s">
        <v>7862</v>
      </c>
      <c r="C1941" t="str">
        <f>""</f>
        <v/>
      </c>
      <c r="D1941" t="str">
        <f>"9789048544066"</f>
        <v>9789048544066</v>
      </c>
      <c r="E1941" t="s">
        <v>4128</v>
      </c>
      <c r="F1941" s="1">
        <v>43873</v>
      </c>
      <c r="G1941" t="s">
        <v>7863</v>
      </c>
      <c r="H1941" t="s">
        <v>6075</v>
      </c>
      <c r="L1941" t="s">
        <v>20</v>
      </c>
      <c r="M1941" t="s">
        <v>7864</v>
      </c>
    </row>
    <row r="1942" spans="1:13" x14ac:dyDescent="0.25">
      <c r="A1942">
        <v>6637575</v>
      </c>
      <c r="B1942" t="s">
        <v>7865</v>
      </c>
      <c r="C1942" t="str">
        <f>""</f>
        <v/>
      </c>
      <c r="D1942" t="str">
        <f>"9789048532919"</f>
        <v>9789048532919</v>
      </c>
      <c r="E1942" t="s">
        <v>4128</v>
      </c>
      <c r="F1942" s="1">
        <v>43665</v>
      </c>
      <c r="G1942" t="s">
        <v>7866</v>
      </c>
      <c r="H1942" t="s">
        <v>7867</v>
      </c>
      <c r="L1942" t="s">
        <v>20</v>
      </c>
      <c r="M1942" t="s">
        <v>7868</v>
      </c>
    </row>
    <row r="1943" spans="1:13" x14ac:dyDescent="0.25">
      <c r="A1943">
        <v>6637576</v>
      </c>
      <c r="B1943" t="s">
        <v>7869</v>
      </c>
      <c r="C1943" t="str">
        <f>""</f>
        <v/>
      </c>
      <c r="D1943" t="str">
        <f>"9783110664720"</f>
        <v>9783110664720</v>
      </c>
      <c r="E1943" t="s">
        <v>350</v>
      </c>
      <c r="F1943" s="1">
        <v>44263</v>
      </c>
      <c r="G1943" t="s">
        <v>7870</v>
      </c>
      <c r="H1943" t="s">
        <v>1098</v>
      </c>
      <c r="L1943" t="s">
        <v>291</v>
      </c>
      <c r="M1943" t="s">
        <v>7871</v>
      </c>
    </row>
    <row r="1944" spans="1:13" x14ac:dyDescent="0.25">
      <c r="A1944">
        <v>6637577</v>
      </c>
      <c r="B1944" t="s">
        <v>7872</v>
      </c>
      <c r="C1944" t="str">
        <f>"9783110626193"</f>
        <v>9783110626193</v>
      </c>
      <c r="D1944" t="str">
        <f>"9783110626209"</f>
        <v>9783110626209</v>
      </c>
      <c r="E1944" t="s">
        <v>350</v>
      </c>
      <c r="F1944" s="1">
        <v>43528</v>
      </c>
      <c r="G1944" t="s">
        <v>7873</v>
      </c>
      <c r="H1944" t="s">
        <v>120</v>
      </c>
      <c r="L1944" t="s">
        <v>20</v>
      </c>
      <c r="M1944" t="s">
        <v>7874</v>
      </c>
    </row>
    <row r="1945" spans="1:13" x14ac:dyDescent="0.25">
      <c r="A1945">
        <v>6637578</v>
      </c>
      <c r="B1945" t="s">
        <v>7875</v>
      </c>
      <c r="C1945" t="str">
        <f>""</f>
        <v/>
      </c>
      <c r="D1945" t="str">
        <f>"9783110606089"</f>
        <v>9783110606089</v>
      </c>
      <c r="E1945" t="s">
        <v>350</v>
      </c>
      <c r="F1945" s="1">
        <v>43731</v>
      </c>
      <c r="G1945" t="s">
        <v>7876</v>
      </c>
      <c r="H1945" t="s">
        <v>70</v>
      </c>
      <c r="L1945" t="s">
        <v>291</v>
      </c>
      <c r="M1945" t="s">
        <v>7877</v>
      </c>
    </row>
    <row r="1946" spans="1:13" x14ac:dyDescent="0.25">
      <c r="A1946">
        <v>6637579</v>
      </c>
      <c r="B1946" t="s">
        <v>7878</v>
      </c>
      <c r="C1946" t="str">
        <f>""</f>
        <v/>
      </c>
      <c r="D1946" t="str">
        <f>"9783110634327"</f>
        <v>9783110634327</v>
      </c>
      <c r="E1946" t="s">
        <v>350</v>
      </c>
      <c r="F1946" s="1">
        <v>43605</v>
      </c>
      <c r="G1946" t="s">
        <v>7879</v>
      </c>
      <c r="H1946" t="s">
        <v>3047</v>
      </c>
      <c r="L1946" t="s">
        <v>291</v>
      </c>
      <c r="M1946" t="s">
        <v>7880</v>
      </c>
    </row>
    <row r="1947" spans="1:13" x14ac:dyDescent="0.25">
      <c r="A1947">
        <v>6637580</v>
      </c>
      <c r="B1947" t="s">
        <v>7881</v>
      </c>
      <c r="C1947" t="str">
        <f>""</f>
        <v/>
      </c>
      <c r="D1947" t="str">
        <f>"9783110688665"</f>
        <v>9783110688665</v>
      </c>
      <c r="E1947" t="s">
        <v>350</v>
      </c>
      <c r="F1947" s="1">
        <v>43990</v>
      </c>
      <c r="G1947" t="s">
        <v>4024</v>
      </c>
      <c r="H1947" t="s">
        <v>7882</v>
      </c>
      <c r="L1947" t="s">
        <v>20</v>
      </c>
      <c r="M1947" t="s">
        <v>7883</v>
      </c>
    </row>
    <row r="1948" spans="1:13" x14ac:dyDescent="0.25">
      <c r="A1948">
        <v>6637581</v>
      </c>
      <c r="B1948" t="s">
        <v>7884</v>
      </c>
      <c r="C1948" t="str">
        <f>"9783110619010"</f>
        <v>9783110619010</v>
      </c>
      <c r="D1948" t="str">
        <f>"9783110619034"</f>
        <v>9783110619034</v>
      </c>
      <c r="E1948" t="s">
        <v>350</v>
      </c>
      <c r="F1948" s="1">
        <v>43696</v>
      </c>
      <c r="G1948" t="s">
        <v>7885</v>
      </c>
      <c r="H1948" t="s">
        <v>70</v>
      </c>
      <c r="L1948" t="s">
        <v>291</v>
      </c>
      <c r="M1948" t="s">
        <v>7886</v>
      </c>
    </row>
    <row r="1949" spans="1:13" x14ac:dyDescent="0.25">
      <c r="A1949">
        <v>6637585</v>
      </c>
      <c r="B1949" t="s">
        <v>7887</v>
      </c>
      <c r="C1949" t="str">
        <f>""</f>
        <v/>
      </c>
      <c r="D1949" t="str">
        <f>"9783110616743"</f>
        <v>9783110616743</v>
      </c>
      <c r="E1949" t="s">
        <v>350</v>
      </c>
      <c r="F1949" s="1">
        <v>44081</v>
      </c>
      <c r="G1949" t="s">
        <v>7888</v>
      </c>
      <c r="H1949" t="s">
        <v>246</v>
      </c>
      <c r="L1949" t="s">
        <v>291</v>
      </c>
      <c r="M1949" t="s">
        <v>7889</v>
      </c>
    </row>
    <row r="1950" spans="1:13" x14ac:dyDescent="0.25">
      <c r="A1950">
        <v>6637586</v>
      </c>
      <c r="B1950" t="s">
        <v>7890</v>
      </c>
      <c r="C1950" t="str">
        <f>""</f>
        <v/>
      </c>
      <c r="D1950" t="str">
        <f>"9783110675382"</f>
        <v>9783110675382</v>
      </c>
      <c r="E1950" t="s">
        <v>350</v>
      </c>
      <c r="F1950" s="1">
        <v>43990</v>
      </c>
      <c r="G1950" t="s">
        <v>7891</v>
      </c>
      <c r="H1950" t="s">
        <v>310</v>
      </c>
      <c r="L1950" t="s">
        <v>291</v>
      </c>
      <c r="M1950" t="s">
        <v>7892</v>
      </c>
    </row>
    <row r="1951" spans="1:13" x14ac:dyDescent="0.25">
      <c r="A1951">
        <v>6637588</v>
      </c>
      <c r="B1951" t="s">
        <v>7893</v>
      </c>
      <c r="C1951" t="str">
        <f>""</f>
        <v/>
      </c>
      <c r="D1951" t="str">
        <f>"9783110645446"</f>
        <v>9783110645446</v>
      </c>
      <c r="E1951" t="s">
        <v>350</v>
      </c>
      <c r="F1951" s="1">
        <v>43759</v>
      </c>
      <c r="G1951" t="s">
        <v>7894</v>
      </c>
      <c r="H1951" t="s">
        <v>139</v>
      </c>
      <c r="L1951" t="s">
        <v>20</v>
      </c>
      <c r="M1951" t="s">
        <v>7895</v>
      </c>
    </row>
    <row r="1952" spans="1:13" x14ac:dyDescent="0.25">
      <c r="A1952">
        <v>6637589</v>
      </c>
      <c r="B1952" t="s">
        <v>7896</v>
      </c>
      <c r="C1952" t="str">
        <f>"9783110615678"</f>
        <v>9783110615678</v>
      </c>
      <c r="D1952" t="str">
        <f>"9783110615692"</f>
        <v>9783110615692</v>
      </c>
      <c r="E1952" t="s">
        <v>350</v>
      </c>
      <c r="F1952" s="1">
        <v>43542</v>
      </c>
      <c r="G1952" t="s">
        <v>7897</v>
      </c>
      <c r="H1952" t="s">
        <v>3107</v>
      </c>
      <c r="L1952" t="s">
        <v>291</v>
      </c>
      <c r="M1952" t="s">
        <v>7898</v>
      </c>
    </row>
    <row r="1953" spans="1:13" x14ac:dyDescent="0.25">
      <c r="A1953">
        <v>6637590</v>
      </c>
      <c r="B1953" t="s">
        <v>7899</v>
      </c>
      <c r="C1953" t="str">
        <f>""</f>
        <v/>
      </c>
      <c r="D1953" t="str">
        <f>"9783035619171"</f>
        <v>9783035619171</v>
      </c>
      <c r="E1953" t="s">
        <v>350</v>
      </c>
      <c r="F1953" s="1">
        <v>43731</v>
      </c>
      <c r="G1953" t="s">
        <v>7900</v>
      </c>
      <c r="H1953" t="s">
        <v>806</v>
      </c>
      <c r="L1953" t="s">
        <v>20</v>
      </c>
      <c r="M1953" t="s">
        <v>7901</v>
      </c>
    </row>
    <row r="1954" spans="1:13" x14ac:dyDescent="0.25">
      <c r="A1954">
        <v>6637592</v>
      </c>
      <c r="B1954" t="s">
        <v>7902</v>
      </c>
      <c r="C1954" t="str">
        <f>""</f>
        <v/>
      </c>
      <c r="D1954" t="str">
        <f>"9783110623833"</f>
        <v>9783110623833</v>
      </c>
      <c r="E1954" t="s">
        <v>350</v>
      </c>
      <c r="F1954" s="1">
        <v>43801</v>
      </c>
      <c r="G1954" t="s">
        <v>7903</v>
      </c>
      <c r="H1954" t="s">
        <v>139</v>
      </c>
      <c r="L1954" t="s">
        <v>291</v>
      </c>
      <c r="M1954" t="s">
        <v>7904</v>
      </c>
    </row>
    <row r="1955" spans="1:13" x14ac:dyDescent="0.25">
      <c r="A1955">
        <v>6637594</v>
      </c>
      <c r="B1955" t="s">
        <v>7905</v>
      </c>
      <c r="C1955" t="str">
        <f>"9783110586763"</f>
        <v>9783110586763</v>
      </c>
      <c r="D1955" t="str">
        <f>"9783110586770"</f>
        <v>9783110586770</v>
      </c>
      <c r="E1955" t="s">
        <v>350</v>
      </c>
      <c r="F1955" s="1">
        <v>43479</v>
      </c>
      <c r="G1955" t="s">
        <v>7906</v>
      </c>
      <c r="H1955" t="s">
        <v>1657</v>
      </c>
      <c r="L1955" t="s">
        <v>291</v>
      </c>
      <c r="M1955" t="s">
        <v>7907</v>
      </c>
    </row>
    <row r="1956" spans="1:13" x14ac:dyDescent="0.25">
      <c r="A1956">
        <v>6637597</v>
      </c>
      <c r="B1956" t="s">
        <v>7908</v>
      </c>
      <c r="C1956" t="str">
        <f>""</f>
        <v/>
      </c>
      <c r="D1956" t="str">
        <f>"9783110625844"</f>
        <v>9783110625844</v>
      </c>
      <c r="E1956" t="s">
        <v>350</v>
      </c>
      <c r="F1956" s="1">
        <v>44158</v>
      </c>
      <c r="G1956" t="s">
        <v>7909</v>
      </c>
      <c r="H1956" t="s">
        <v>1098</v>
      </c>
      <c r="L1956" t="s">
        <v>20</v>
      </c>
      <c r="M1956" t="s">
        <v>7910</v>
      </c>
    </row>
    <row r="1957" spans="1:13" x14ac:dyDescent="0.25">
      <c r="A1957">
        <v>6637598</v>
      </c>
      <c r="B1957" t="s">
        <v>7911</v>
      </c>
      <c r="C1957" t="str">
        <f>""</f>
        <v/>
      </c>
      <c r="D1957" t="str">
        <f>"9783110669398"</f>
        <v>9783110669398</v>
      </c>
      <c r="E1957" t="s">
        <v>350</v>
      </c>
      <c r="F1957" s="1">
        <v>44053</v>
      </c>
      <c r="G1957" t="s">
        <v>7912</v>
      </c>
      <c r="H1957" t="s">
        <v>7793</v>
      </c>
      <c r="L1957" t="s">
        <v>20</v>
      </c>
      <c r="M1957" t="s">
        <v>7913</v>
      </c>
    </row>
    <row r="1958" spans="1:13" x14ac:dyDescent="0.25">
      <c r="A1958">
        <v>6637599</v>
      </c>
      <c r="B1958" t="s">
        <v>7914</v>
      </c>
      <c r="C1958" t="str">
        <f>""</f>
        <v/>
      </c>
      <c r="D1958" t="str">
        <f>"9783110677065"</f>
        <v>9783110677065</v>
      </c>
      <c r="E1958" t="s">
        <v>350</v>
      </c>
      <c r="F1958" s="1">
        <v>43956</v>
      </c>
      <c r="G1958" t="s">
        <v>7915</v>
      </c>
      <c r="H1958" t="s">
        <v>64</v>
      </c>
      <c r="J1958" t="s">
        <v>7916</v>
      </c>
      <c r="L1958" t="s">
        <v>20</v>
      </c>
      <c r="M1958" t="s">
        <v>7917</v>
      </c>
    </row>
    <row r="1959" spans="1:13" x14ac:dyDescent="0.25">
      <c r="A1959">
        <v>6637601</v>
      </c>
      <c r="B1959" t="s">
        <v>7918</v>
      </c>
      <c r="C1959" t="str">
        <f>""</f>
        <v/>
      </c>
      <c r="D1959" t="str">
        <f>"9783110607772"</f>
        <v>9783110607772</v>
      </c>
      <c r="E1959" t="s">
        <v>350</v>
      </c>
      <c r="F1959" s="1">
        <v>43787</v>
      </c>
      <c r="G1959" t="s">
        <v>7919</v>
      </c>
      <c r="H1959" t="s">
        <v>689</v>
      </c>
      <c r="L1959" t="s">
        <v>291</v>
      </c>
      <c r="M1959" t="s">
        <v>7920</v>
      </c>
    </row>
    <row r="1960" spans="1:13" x14ac:dyDescent="0.25">
      <c r="A1960">
        <v>6637603</v>
      </c>
      <c r="B1960" t="s">
        <v>7921</v>
      </c>
      <c r="C1960" t="str">
        <f>""</f>
        <v/>
      </c>
      <c r="D1960" t="str">
        <f>"9783110642513"</f>
        <v>9783110642513</v>
      </c>
      <c r="E1960" t="s">
        <v>350</v>
      </c>
      <c r="F1960" s="1">
        <v>43731</v>
      </c>
      <c r="G1960" t="s">
        <v>7922</v>
      </c>
      <c r="H1960" t="s">
        <v>266</v>
      </c>
      <c r="L1960" t="s">
        <v>291</v>
      </c>
      <c r="M1960" t="s">
        <v>7923</v>
      </c>
    </row>
    <row r="1961" spans="1:13" x14ac:dyDescent="0.25">
      <c r="A1961">
        <v>6637604</v>
      </c>
      <c r="B1961" t="s">
        <v>7924</v>
      </c>
      <c r="C1961" t="str">
        <f>""</f>
        <v/>
      </c>
      <c r="D1961" t="str">
        <f>"9783110635942"</f>
        <v>9783110635942</v>
      </c>
      <c r="E1961" t="s">
        <v>350</v>
      </c>
      <c r="F1961" s="1">
        <v>43746</v>
      </c>
      <c r="G1961" t="s">
        <v>7925</v>
      </c>
      <c r="H1961" t="s">
        <v>139</v>
      </c>
      <c r="L1961" t="s">
        <v>20</v>
      </c>
      <c r="M1961" t="s">
        <v>7926</v>
      </c>
    </row>
    <row r="1962" spans="1:13" x14ac:dyDescent="0.25">
      <c r="A1962">
        <v>6637607</v>
      </c>
      <c r="B1962" t="s">
        <v>7927</v>
      </c>
      <c r="C1962" t="str">
        <f>""</f>
        <v/>
      </c>
      <c r="D1962" t="str">
        <f>"9783110639445"</f>
        <v>9783110639445</v>
      </c>
      <c r="E1962" t="s">
        <v>350</v>
      </c>
      <c r="F1962" s="1">
        <v>44130</v>
      </c>
      <c r="G1962" t="s">
        <v>7928</v>
      </c>
      <c r="H1962" t="s">
        <v>70</v>
      </c>
      <c r="L1962" t="s">
        <v>291</v>
      </c>
      <c r="M1962" t="s">
        <v>7929</v>
      </c>
    </row>
    <row r="1963" spans="1:13" x14ac:dyDescent="0.25">
      <c r="A1963">
        <v>6637610</v>
      </c>
      <c r="B1963" t="s">
        <v>7930</v>
      </c>
      <c r="C1963" t="str">
        <f>""</f>
        <v/>
      </c>
      <c r="D1963" t="str">
        <f>"9783110690668"</f>
        <v>9783110690668</v>
      </c>
      <c r="E1963" t="s">
        <v>350</v>
      </c>
      <c r="F1963" s="1">
        <v>44067</v>
      </c>
      <c r="G1963" t="s">
        <v>7931</v>
      </c>
      <c r="H1963" t="s">
        <v>1753</v>
      </c>
      <c r="J1963">
        <v>658.4058</v>
      </c>
      <c r="L1963" t="s">
        <v>20</v>
      </c>
      <c r="M1963" t="s">
        <v>7932</v>
      </c>
    </row>
    <row r="1964" spans="1:13" x14ac:dyDescent="0.25">
      <c r="A1964">
        <v>6637611</v>
      </c>
      <c r="B1964" t="s">
        <v>7933</v>
      </c>
      <c r="C1964" t="str">
        <f>""</f>
        <v/>
      </c>
      <c r="D1964" t="str">
        <f>"9783839445303"</f>
        <v>9783839445303</v>
      </c>
      <c r="E1964" t="s">
        <v>7934</v>
      </c>
      <c r="F1964" s="1">
        <v>43774</v>
      </c>
      <c r="G1964" t="s">
        <v>7935</v>
      </c>
      <c r="H1964" t="s">
        <v>64</v>
      </c>
      <c r="L1964" t="s">
        <v>291</v>
      </c>
      <c r="M1964" t="s">
        <v>7936</v>
      </c>
    </row>
    <row r="1965" spans="1:13" x14ac:dyDescent="0.25">
      <c r="A1965">
        <v>6637617</v>
      </c>
      <c r="B1965" t="s">
        <v>7937</v>
      </c>
      <c r="C1965" t="str">
        <f>""</f>
        <v/>
      </c>
      <c r="D1965" t="str">
        <f>"9783035620252"</f>
        <v>9783035620252</v>
      </c>
      <c r="E1965" t="s">
        <v>350</v>
      </c>
      <c r="F1965" s="1">
        <v>43817</v>
      </c>
      <c r="G1965" t="s">
        <v>7938</v>
      </c>
      <c r="H1965" t="s">
        <v>246</v>
      </c>
      <c r="L1965" t="s">
        <v>291</v>
      </c>
      <c r="M1965" t="s">
        <v>7939</v>
      </c>
    </row>
    <row r="1966" spans="1:13" x14ac:dyDescent="0.25">
      <c r="A1966">
        <v>6637618</v>
      </c>
      <c r="B1966" t="s">
        <v>7940</v>
      </c>
      <c r="C1966" t="str">
        <f>""</f>
        <v/>
      </c>
      <c r="D1966" t="str">
        <f>"9783110659658"</f>
        <v>9783110659658</v>
      </c>
      <c r="E1966" t="s">
        <v>350</v>
      </c>
      <c r="F1966" s="1">
        <v>44004</v>
      </c>
      <c r="G1966" t="s">
        <v>7941</v>
      </c>
      <c r="H1966" t="s">
        <v>1040</v>
      </c>
      <c r="L1966" t="s">
        <v>20</v>
      </c>
      <c r="M1966" t="s">
        <v>7942</v>
      </c>
    </row>
    <row r="1967" spans="1:13" x14ac:dyDescent="0.25">
      <c r="A1967">
        <v>6637621</v>
      </c>
      <c r="B1967" t="s">
        <v>7943</v>
      </c>
      <c r="C1967" t="str">
        <f>""</f>
        <v/>
      </c>
      <c r="D1967" t="str">
        <f>"9783110642384"</f>
        <v>9783110642384</v>
      </c>
      <c r="E1967" t="s">
        <v>350</v>
      </c>
      <c r="F1967" s="1">
        <v>44172</v>
      </c>
      <c r="G1967" t="s">
        <v>7944</v>
      </c>
      <c r="H1967" t="s">
        <v>7945</v>
      </c>
      <c r="L1967" t="s">
        <v>291</v>
      </c>
      <c r="M1967" t="s">
        <v>7946</v>
      </c>
    </row>
    <row r="1968" spans="1:13" x14ac:dyDescent="0.25">
      <c r="A1968">
        <v>6637624</v>
      </c>
      <c r="B1968" t="s">
        <v>7947</v>
      </c>
      <c r="C1968" t="str">
        <f>""</f>
        <v/>
      </c>
      <c r="D1968" t="str">
        <f>"9783110641226"</f>
        <v>9783110641226</v>
      </c>
      <c r="E1968" t="s">
        <v>350</v>
      </c>
      <c r="F1968" s="1">
        <v>43815</v>
      </c>
      <c r="G1968" t="s">
        <v>7948</v>
      </c>
      <c r="H1968" t="s">
        <v>851</v>
      </c>
      <c r="L1968" t="s">
        <v>1279</v>
      </c>
      <c r="M1968" t="s">
        <v>7949</v>
      </c>
    </row>
    <row r="1969" spans="1:13" x14ac:dyDescent="0.25">
      <c r="A1969">
        <v>6637625</v>
      </c>
      <c r="B1969" t="s">
        <v>7950</v>
      </c>
      <c r="C1969" t="str">
        <f>"9783110620306"</f>
        <v>9783110620306</v>
      </c>
      <c r="D1969" t="str">
        <f>"9783110621365"</f>
        <v>9783110621365</v>
      </c>
      <c r="E1969" t="s">
        <v>350</v>
      </c>
      <c r="F1969" s="1">
        <v>43654</v>
      </c>
      <c r="G1969" t="s">
        <v>7951</v>
      </c>
      <c r="H1969" t="s">
        <v>70</v>
      </c>
      <c r="I1969" t="s">
        <v>7952</v>
      </c>
      <c r="L1969" t="s">
        <v>1279</v>
      </c>
      <c r="M1969" t="s">
        <v>7953</v>
      </c>
    </row>
    <row r="1970" spans="1:13" x14ac:dyDescent="0.25">
      <c r="A1970">
        <v>6637628</v>
      </c>
      <c r="B1970" t="s">
        <v>7954</v>
      </c>
      <c r="C1970" t="str">
        <f>""</f>
        <v/>
      </c>
      <c r="D1970" t="str">
        <f>"9783110669800"</f>
        <v>9783110669800</v>
      </c>
      <c r="E1970" t="s">
        <v>350</v>
      </c>
      <c r="F1970" s="1">
        <v>43885</v>
      </c>
      <c r="G1970" t="s">
        <v>7955</v>
      </c>
      <c r="H1970" t="s">
        <v>64</v>
      </c>
      <c r="J1970">
        <v>305.52091767000002</v>
      </c>
      <c r="L1970" t="s">
        <v>20</v>
      </c>
      <c r="M1970" t="s">
        <v>7956</v>
      </c>
    </row>
    <row r="1971" spans="1:13" x14ac:dyDescent="0.25">
      <c r="A1971">
        <v>6637630</v>
      </c>
      <c r="B1971" t="s">
        <v>7957</v>
      </c>
      <c r="C1971" t="str">
        <f>""</f>
        <v/>
      </c>
      <c r="D1971" t="str">
        <f>"9789048550234"</f>
        <v>9789048550234</v>
      </c>
      <c r="E1971" t="s">
        <v>4128</v>
      </c>
      <c r="F1971" s="1">
        <v>43797</v>
      </c>
      <c r="G1971" t="s">
        <v>7958</v>
      </c>
      <c r="H1971" t="s">
        <v>7959</v>
      </c>
      <c r="L1971" t="s">
        <v>20</v>
      </c>
      <c r="M1971" t="s">
        <v>7960</v>
      </c>
    </row>
    <row r="1972" spans="1:13" x14ac:dyDescent="0.25">
      <c r="A1972">
        <v>6637631</v>
      </c>
      <c r="B1972" t="s">
        <v>7961</v>
      </c>
      <c r="C1972" t="str">
        <f>""</f>
        <v/>
      </c>
      <c r="D1972" t="str">
        <f>"9789048535538"</f>
        <v>9789048535538</v>
      </c>
      <c r="E1972" t="s">
        <v>4128</v>
      </c>
      <c r="F1972" s="1">
        <v>43742</v>
      </c>
      <c r="G1972" t="s">
        <v>7962</v>
      </c>
      <c r="H1972" t="s">
        <v>7963</v>
      </c>
      <c r="L1972" t="s">
        <v>20</v>
      </c>
      <c r="M1972" t="s">
        <v>7964</v>
      </c>
    </row>
    <row r="1973" spans="1:13" x14ac:dyDescent="0.25">
      <c r="A1973">
        <v>6637635</v>
      </c>
      <c r="B1973" t="s">
        <v>7965</v>
      </c>
      <c r="C1973" t="str">
        <f>""</f>
        <v/>
      </c>
      <c r="D1973" t="str">
        <f>"9783110691504"</f>
        <v>9783110691504</v>
      </c>
      <c r="E1973" t="s">
        <v>350</v>
      </c>
      <c r="F1973" s="1">
        <v>44158</v>
      </c>
      <c r="G1973" t="s">
        <v>7966</v>
      </c>
      <c r="H1973" t="s">
        <v>101</v>
      </c>
      <c r="L1973" t="s">
        <v>20</v>
      </c>
      <c r="M1973" t="s">
        <v>7967</v>
      </c>
    </row>
    <row r="1974" spans="1:13" x14ac:dyDescent="0.25">
      <c r="A1974">
        <v>6637636</v>
      </c>
      <c r="B1974" t="s">
        <v>7968</v>
      </c>
      <c r="C1974" t="str">
        <f>""</f>
        <v/>
      </c>
      <c r="D1974" t="str">
        <f>"9783110685008"</f>
        <v>9783110685008</v>
      </c>
      <c r="E1974" t="s">
        <v>350</v>
      </c>
      <c r="F1974" s="1">
        <v>44004</v>
      </c>
      <c r="G1974" t="s">
        <v>7969</v>
      </c>
      <c r="H1974" t="s">
        <v>7970</v>
      </c>
      <c r="L1974" t="s">
        <v>20</v>
      </c>
      <c r="M1974" t="s">
        <v>7971</v>
      </c>
    </row>
    <row r="1975" spans="1:13" x14ac:dyDescent="0.25">
      <c r="A1975">
        <v>6637638</v>
      </c>
      <c r="B1975" t="s">
        <v>7972</v>
      </c>
      <c r="C1975" t="str">
        <f>""</f>
        <v/>
      </c>
      <c r="D1975" t="str">
        <f>"9783110641134"</f>
        <v>9783110641134</v>
      </c>
      <c r="E1975" t="s">
        <v>350</v>
      </c>
      <c r="F1975" s="1">
        <v>43759</v>
      </c>
      <c r="G1975" t="s">
        <v>7973</v>
      </c>
      <c r="H1975" t="s">
        <v>70</v>
      </c>
      <c r="L1975" t="s">
        <v>20</v>
      </c>
      <c r="M1975" t="s">
        <v>7974</v>
      </c>
    </row>
    <row r="1976" spans="1:13" x14ac:dyDescent="0.25">
      <c r="A1976">
        <v>6637639</v>
      </c>
      <c r="B1976" t="s">
        <v>7975</v>
      </c>
      <c r="C1976" t="str">
        <f>""</f>
        <v/>
      </c>
      <c r="D1976" t="str">
        <f>"9783110691375"</f>
        <v>9783110691375</v>
      </c>
      <c r="E1976" t="s">
        <v>350</v>
      </c>
      <c r="F1976" s="1">
        <v>44004</v>
      </c>
      <c r="G1976" t="s">
        <v>7976</v>
      </c>
      <c r="H1976" t="s">
        <v>70</v>
      </c>
      <c r="J1976">
        <v>820.93550000000005</v>
      </c>
      <c r="L1976" t="s">
        <v>20</v>
      </c>
      <c r="M1976" t="s">
        <v>7977</v>
      </c>
    </row>
    <row r="1977" spans="1:13" x14ac:dyDescent="0.25">
      <c r="A1977">
        <v>6637641</v>
      </c>
      <c r="B1977" t="s">
        <v>7978</v>
      </c>
      <c r="C1977" t="str">
        <f>"9783110602951"</f>
        <v>9783110602951</v>
      </c>
      <c r="D1977" t="str">
        <f>"9783110605679"</f>
        <v>9783110605679</v>
      </c>
      <c r="E1977" t="s">
        <v>350</v>
      </c>
      <c r="F1977" s="1">
        <v>43746</v>
      </c>
      <c r="G1977" t="s">
        <v>7979</v>
      </c>
      <c r="H1977" t="s">
        <v>851</v>
      </c>
      <c r="L1977" t="s">
        <v>4340</v>
      </c>
      <c r="M1977" t="s">
        <v>7980</v>
      </c>
    </row>
    <row r="1978" spans="1:13" x14ac:dyDescent="0.25">
      <c r="A1978">
        <v>6637646</v>
      </c>
      <c r="B1978" t="s">
        <v>7981</v>
      </c>
      <c r="C1978" t="str">
        <f>""</f>
        <v/>
      </c>
      <c r="D1978" t="str">
        <f>"9783110639438"</f>
        <v>9783110639438</v>
      </c>
      <c r="E1978" t="s">
        <v>350</v>
      </c>
      <c r="F1978" s="1">
        <v>44305</v>
      </c>
      <c r="G1978" t="s">
        <v>7982</v>
      </c>
      <c r="H1978" t="s">
        <v>3047</v>
      </c>
      <c r="L1978" t="s">
        <v>20</v>
      </c>
      <c r="M1978" t="s">
        <v>7983</v>
      </c>
    </row>
    <row r="1979" spans="1:13" x14ac:dyDescent="0.25">
      <c r="A1979">
        <v>6637647</v>
      </c>
      <c r="B1979" t="s">
        <v>7984</v>
      </c>
      <c r="C1979" t="str">
        <f>""</f>
        <v/>
      </c>
      <c r="D1979" t="str">
        <f>"9783110661583"</f>
        <v>9783110661583</v>
      </c>
      <c r="E1979" t="s">
        <v>350</v>
      </c>
      <c r="F1979" s="1">
        <v>43710</v>
      </c>
      <c r="G1979" t="s">
        <v>7985</v>
      </c>
      <c r="H1979" t="s">
        <v>70</v>
      </c>
      <c r="L1979" t="s">
        <v>291</v>
      </c>
      <c r="M1979" t="s">
        <v>7986</v>
      </c>
    </row>
    <row r="1980" spans="1:13" x14ac:dyDescent="0.25">
      <c r="A1980">
        <v>6637648</v>
      </c>
      <c r="B1980" t="s">
        <v>7987</v>
      </c>
      <c r="C1980" t="str">
        <f>""</f>
        <v/>
      </c>
      <c r="D1980" t="str">
        <f>"9789048536757"</f>
        <v>9789048536757</v>
      </c>
      <c r="E1980" t="s">
        <v>4128</v>
      </c>
      <c r="F1980" s="1">
        <v>43661</v>
      </c>
      <c r="G1980" t="s">
        <v>7988</v>
      </c>
      <c r="H1980" t="s">
        <v>139</v>
      </c>
      <c r="J1980">
        <v>954.4</v>
      </c>
      <c r="L1980" t="s">
        <v>20</v>
      </c>
      <c r="M1980" t="s">
        <v>7989</v>
      </c>
    </row>
    <row r="1981" spans="1:13" x14ac:dyDescent="0.25">
      <c r="A1981">
        <v>6637652</v>
      </c>
      <c r="B1981" t="s">
        <v>7990</v>
      </c>
      <c r="C1981" t="str">
        <f>""</f>
        <v/>
      </c>
      <c r="D1981" t="str">
        <f>"9783110637502"</f>
        <v>9783110637502</v>
      </c>
      <c r="E1981" t="s">
        <v>350</v>
      </c>
      <c r="F1981" s="1">
        <v>44144</v>
      </c>
      <c r="G1981" t="s">
        <v>7991</v>
      </c>
      <c r="H1981" t="s">
        <v>951</v>
      </c>
      <c r="L1981" t="s">
        <v>291</v>
      </c>
      <c r="M1981" t="s">
        <v>7992</v>
      </c>
    </row>
    <row r="1982" spans="1:13" x14ac:dyDescent="0.25">
      <c r="A1982">
        <v>6637653</v>
      </c>
      <c r="B1982" t="s">
        <v>7993</v>
      </c>
      <c r="C1982" t="str">
        <f>""</f>
        <v/>
      </c>
      <c r="D1982" t="str">
        <f>"9783110630206"</f>
        <v>9783110630206</v>
      </c>
      <c r="E1982" t="s">
        <v>350</v>
      </c>
      <c r="F1982" s="1">
        <v>43731</v>
      </c>
      <c r="G1982" t="s">
        <v>7994</v>
      </c>
      <c r="H1982" t="s">
        <v>239</v>
      </c>
      <c r="L1982" t="s">
        <v>291</v>
      </c>
      <c r="M1982" t="s">
        <v>7995</v>
      </c>
    </row>
    <row r="1983" spans="1:13" x14ac:dyDescent="0.25">
      <c r="A1983">
        <v>6637654</v>
      </c>
      <c r="B1983" t="s">
        <v>7996</v>
      </c>
      <c r="C1983" t="str">
        <f>""</f>
        <v/>
      </c>
      <c r="D1983" t="str">
        <f>"9789048542086"</f>
        <v>9789048542086</v>
      </c>
      <c r="E1983" t="s">
        <v>4128</v>
      </c>
      <c r="F1983" s="1">
        <v>43739</v>
      </c>
      <c r="G1983" t="s">
        <v>7997</v>
      </c>
      <c r="H1983" t="s">
        <v>7998</v>
      </c>
      <c r="L1983" t="s">
        <v>20</v>
      </c>
      <c r="M1983" t="s">
        <v>7999</v>
      </c>
    </row>
    <row r="1984" spans="1:13" x14ac:dyDescent="0.25">
      <c r="A1984">
        <v>6637655</v>
      </c>
      <c r="B1984" t="s">
        <v>8000</v>
      </c>
      <c r="C1984" t="str">
        <f>""</f>
        <v/>
      </c>
      <c r="D1984" t="str">
        <f>"9783110696493"</f>
        <v>9783110696493</v>
      </c>
      <c r="E1984" t="s">
        <v>350</v>
      </c>
      <c r="F1984" s="1">
        <v>44004</v>
      </c>
      <c r="G1984" t="s">
        <v>8001</v>
      </c>
      <c r="H1984" t="s">
        <v>310</v>
      </c>
      <c r="L1984" t="s">
        <v>291</v>
      </c>
      <c r="M1984" t="s">
        <v>8002</v>
      </c>
    </row>
    <row r="1985" spans="1:13" x14ac:dyDescent="0.25">
      <c r="A1985">
        <v>6637656</v>
      </c>
      <c r="B1985" t="s">
        <v>8003</v>
      </c>
      <c r="C1985" t="str">
        <f>""</f>
        <v/>
      </c>
      <c r="D1985" t="str">
        <f>"9783110670691"</f>
        <v>9783110670691</v>
      </c>
      <c r="E1985" t="s">
        <v>350</v>
      </c>
      <c r="F1985" s="1">
        <v>44053</v>
      </c>
      <c r="G1985" t="s">
        <v>8004</v>
      </c>
      <c r="H1985" t="s">
        <v>310</v>
      </c>
      <c r="J1985">
        <v>227.06</v>
      </c>
      <c r="L1985" t="s">
        <v>291</v>
      </c>
      <c r="M1985" t="s">
        <v>8005</v>
      </c>
    </row>
    <row r="1986" spans="1:13" x14ac:dyDescent="0.25">
      <c r="A1986">
        <v>6637661</v>
      </c>
      <c r="B1986" t="s">
        <v>8006</v>
      </c>
      <c r="C1986" t="str">
        <f>""</f>
        <v/>
      </c>
      <c r="D1986" t="str">
        <f>"9783110640069"</f>
        <v>9783110640069</v>
      </c>
      <c r="E1986" t="s">
        <v>350</v>
      </c>
      <c r="F1986" s="1">
        <v>44181</v>
      </c>
      <c r="G1986" t="s">
        <v>8007</v>
      </c>
      <c r="H1986" t="s">
        <v>70</v>
      </c>
      <c r="L1986" t="s">
        <v>1213</v>
      </c>
      <c r="M1986" t="s">
        <v>8008</v>
      </c>
    </row>
    <row r="1987" spans="1:13" x14ac:dyDescent="0.25">
      <c r="A1987">
        <v>6637667</v>
      </c>
      <c r="B1987" t="s">
        <v>8009</v>
      </c>
      <c r="C1987" t="str">
        <f>""</f>
        <v/>
      </c>
      <c r="D1987" t="str">
        <f>"9783110499001"</f>
        <v>9783110499001</v>
      </c>
      <c r="E1987" t="s">
        <v>350</v>
      </c>
      <c r="F1987" s="1">
        <v>44172</v>
      </c>
      <c r="G1987" t="s">
        <v>7735</v>
      </c>
      <c r="H1987" t="s">
        <v>1178</v>
      </c>
      <c r="J1987">
        <v>515.35299999999995</v>
      </c>
      <c r="L1987" t="s">
        <v>20</v>
      </c>
      <c r="M1987" t="s">
        <v>8010</v>
      </c>
    </row>
    <row r="1988" spans="1:13" x14ac:dyDescent="0.25">
      <c r="A1988">
        <v>6637670</v>
      </c>
      <c r="B1988" t="s">
        <v>8011</v>
      </c>
      <c r="C1988" t="str">
        <f>""</f>
        <v/>
      </c>
      <c r="D1988" t="str">
        <f>"9783110604856"</f>
        <v>9783110604856</v>
      </c>
      <c r="E1988" t="s">
        <v>350</v>
      </c>
      <c r="F1988" s="1">
        <v>43668</v>
      </c>
      <c r="G1988" t="s">
        <v>8012</v>
      </c>
      <c r="H1988" t="s">
        <v>851</v>
      </c>
      <c r="L1988" t="s">
        <v>291</v>
      </c>
      <c r="M1988" t="s">
        <v>8013</v>
      </c>
    </row>
    <row r="1989" spans="1:13" x14ac:dyDescent="0.25">
      <c r="A1989">
        <v>6637675</v>
      </c>
      <c r="B1989" t="s">
        <v>8014</v>
      </c>
      <c r="C1989" t="str">
        <f>""</f>
        <v/>
      </c>
      <c r="D1989" t="str">
        <f>"9783110666816"</f>
        <v>9783110666816</v>
      </c>
      <c r="E1989" t="s">
        <v>350</v>
      </c>
      <c r="F1989" s="1">
        <v>44018</v>
      </c>
      <c r="G1989" t="s">
        <v>8015</v>
      </c>
      <c r="H1989" t="s">
        <v>70</v>
      </c>
      <c r="L1989" t="s">
        <v>291</v>
      </c>
      <c r="M1989" t="s">
        <v>8016</v>
      </c>
    </row>
    <row r="1990" spans="1:13" x14ac:dyDescent="0.25">
      <c r="A1990">
        <v>6637676</v>
      </c>
      <c r="B1990" t="s">
        <v>8017</v>
      </c>
      <c r="C1990" t="str">
        <f>""</f>
        <v/>
      </c>
      <c r="D1990" t="str">
        <f>"9783110685022"</f>
        <v>9783110685022</v>
      </c>
      <c r="E1990" t="s">
        <v>350</v>
      </c>
      <c r="F1990" s="1">
        <v>43956</v>
      </c>
      <c r="G1990" t="s">
        <v>7969</v>
      </c>
      <c r="H1990" t="s">
        <v>8018</v>
      </c>
      <c r="L1990" t="s">
        <v>20</v>
      </c>
      <c r="M1990" t="s">
        <v>8019</v>
      </c>
    </row>
    <row r="1991" spans="1:13" x14ac:dyDescent="0.25">
      <c r="A1991">
        <v>6637677</v>
      </c>
      <c r="B1991" t="s">
        <v>8020</v>
      </c>
      <c r="C1991" t="str">
        <f>""</f>
        <v/>
      </c>
      <c r="D1991" t="str">
        <f>"9789048542871"</f>
        <v>9789048542871</v>
      </c>
      <c r="E1991" t="s">
        <v>4128</v>
      </c>
      <c r="F1991" s="1">
        <v>43574</v>
      </c>
      <c r="G1991" t="s">
        <v>8021</v>
      </c>
      <c r="H1991" t="s">
        <v>83</v>
      </c>
      <c r="J1991" t="s">
        <v>8022</v>
      </c>
      <c r="L1991" t="s">
        <v>20</v>
      </c>
      <c r="M1991" t="s">
        <v>8023</v>
      </c>
    </row>
    <row r="1992" spans="1:13" x14ac:dyDescent="0.25">
      <c r="A1992">
        <v>6637678</v>
      </c>
      <c r="B1992" t="s">
        <v>8024</v>
      </c>
      <c r="C1992" t="str">
        <f>""</f>
        <v/>
      </c>
      <c r="D1992" t="str">
        <f>"9783110674668"</f>
        <v>9783110674668</v>
      </c>
      <c r="E1992" t="s">
        <v>350</v>
      </c>
      <c r="F1992" s="1">
        <v>43815</v>
      </c>
      <c r="G1992" t="s">
        <v>8025</v>
      </c>
      <c r="H1992" t="s">
        <v>70</v>
      </c>
      <c r="J1992">
        <v>871</v>
      </c>
      <c r="L1992" t="s">
        <v>1213</v>
      </c>
      <c r="M1992" t="s">
        <v>8026</v>
      </c>
    </row>
    <row r="1993" spans="1:13" x14ac:dyDescent="0.25">
      <c r="A1993">
        <v>6637679</v>
      </c>
      <c r="B1993" t="s">
        <v>8027</v>
      </c>
      <c r="C1993" t="str">
        <f>""</f>
        <v/>
      </c>
      <c r="D1993" t="str">
        <f>"9789048537419"</f>
        <v>9789048537419</v>
      </c>
      <c r="E1993" t="s">
        <v>4128</v>
      </c>
      <c r="F1993" s="1">
        <v>43993</v>
      </c>
      <c r="G1993" t="s">
        <v>8028</v>
      </c>
      <c r="H1993" t="s">
        <v>749</v>
      </c>
      <c r="L1993" t="s">
        <v>20</v>
      </c>
      <c r="M1993" t="s">
        <v>8029</v>
      </c>
    </row>
    <row r="1994" spans="1:13" x14ac:dyDescent="0.25">
      <c r="A1994">
        <v>6637682</v>
      </c>
      <c r="B1994" t="s">
        <v>8030</v>
      </c>
      <c r="C1994" t="str">
        <f>""</f>
        <v/>
      </c>
      <c r="D1994" t="str">
        <f>"9783110607833"</f>
        <v>9783110607833</v>
      </c>
      <c r="E1994" t="s">
        <v>350</v>
      </c>
      <c r="F1994" s="1">
        <v>44095</v>
      </c>
      <c r="G1994" t="s">
        <v>8031</v>
      </c>
      <c r="H1994" t="s">
        <v>139</v>
      </c>
      <c r="L1994" t="s">
        <v>291</v>
      </c>
      <c r="M1994" t="s">
        <v>8032</v>
      </c>
    </row>
    <row r="1995" spans="1:13" x14ac:dyDescent="0.25">
      <c r="A1995">
        <v>6637685</v>
      </c>
      <c r="B1995" t="s">
        <v>8033</v>
      </c>
      <c r="C1995" t="str">
        <f>""</f>
        <v/>
      </c>
      <c r="D1995" t="str">
        <f>"9783110697841"</f>
        <v>9783110697841</v>
      </c>
      <c r="E1995" t="s">
        <v>350</v>
      </c>
      <c r="F1995" s="1">
        <v>44181</v>
      </c>
      <c r="G1995" t="s">
        <v>8034</v>
      </c>
      <c r="H1995" t="s">
        <v>246</v>
      </c>
      <c r="J1995" t="s">
        <v>8035</v>
      </c>
      <c r="L1995" t="s">
        <v>20</v>
      </c>
      <c r="M1995" t="s">
        <v>8036</v>
      </c>
    </row>
    <row r="1996" spans="1:13" x14ac:dyDescent="0.25">
      <c r="A1996">
        <v>6637687</v>
      </c>
      <c r="B1996" t="s">
        <v>8037</v>
      </c>
      <c r="C1996" t="str">
        <f>""</f>
        <v/>
      </c>
      <c r="D1996" t="str">
        <f>"9783110632446"</f>
        <v>9783110632446</v>
      </c>
      <c r="E1996" t="s">
        <v>350</v>
      </c>
      <c r="F1996" s="1">
        <v>43479</v>
      </c>
      <c r="G1996" t="s">
        <v>8038</v>
      </c>
      <c r="H1996" t="s">
        <v>851</v>
      </c>
      <c r="J1996">
        <v>415</v>
      </c>
      <c r="L1996" t="s">
        <v>20</v>
      </c>
      <c r="M1996" t="s">
        <v>8039</v>
      </c>
    </row>
    <row r="1997" spans="1:13" x14ac:dyDescent="0.25">
      <c r="A1997">
        <v>6637694</v>
      </c>
      <c r="B1997" t="s">
        <v>8040</v>
      </c>
      <c r="C1997" t="str">
        <f>"9783110487336"</f>
        <v>9783110487336</v>
      </c>
      <c r="D1997" t="str">
        <f>"9783110527988"</f>
        <v>9783110527988</v>
      </c>
      <c r="E1997" t="s">
        <v>270</v>
      </c>
      <c r="F1997" s="1">
        <v>43654</v>
      </c>
      <c r="G1997" t="s">
        <v>8041</v>
      </c>
      <c r="H1997" t="s">
        <v>139</v>
      </c>
      <c r="I1997" t="s">
        <v>8042</v>
      </c>
      <c r="L1997" t="s">
        <v>20</v>
      </c>
      <c r="M1997" t="s">
        <v>8043</v>
      </c>
    </row>
    <row r="1998" spans="1:13" x14ac:dyDescent="0.25">
      <c r="A1998">
        <v>6637695</v>
      </c>
      <c r="B1998" t="s">
        <v>8044</v>
      </c>
      <c r="C1998" t="str">
        <f>""</f>
        <v/>
      </c>
      <c r="D1998" t="str">
        <f>"9783110639476"</f>
        <v>9783110639476</v>
      </c>
      <c r="E1998" t="s">
        <v>350</v>
      </c>
      <c r="F1998" s="1">
        <v>44326</v>
      </c>
      <c r="G1998" t="s">
        <v>8045</v>
      </c>
      <c r="H1998" t="s">
        <v>288</v>
      </c>
      <c r="L1998" t="s">
        <v>20</v>
      </c>
      <c r="M1998" t="s">
        <v>8046</v>
      </c>
    </row>
    <row r="1999" spans="1:13" x14ac:dyDescent="0.25">
      <c r="A1999">
        <v>6637696</v>
      </c>
      <c r="B1999" t="s">
        <v>8047</v>
      </c>
      <c r="C1999" t="str">
        <f>""</f>
        <v/>
      </c>
      <c r="D1999" t="str">
        <f>"9783110607741"</f>
        <v>9783110607741</v>
      </c>
      <c r="E1999" t="s">
        <v>350</v>
      </c>
      <c r="F1999" s="1">
        <v>43801</v>
      </c>
      <c r="G1999" t="s">
        <v>8048</v>
      </c>
      <c r="H1999" t="s">
        <v>2368</v>
      </c>
      <c r="J1999">
        <v>330.93</v>
      </c>
      <c r="L1999" t="s">
        <v>20</v>
      </c>
      <c r="M1999" t="s">
        <v>8049</v>
      </c>
    </row>
    <row r="2000" spans="1:13" x14ac:dyDescent="0.25">
      <c r="A2000">
        <v>6637697</v>
      </c>
      <c r="B2000" t="s">
        <v>8050</v>
      </c>
      <c r="C2000" t="str">
        <f>""</f>
        <v/>
      </c>
      <c r="D2000" t="str">
        <f>"9783110682427"</f>
        <v>9783110682427</v>
      </c>
      <c r="E2000" t="s">
        <v>350</v>
      </c>
      <c r="F2000" s="1">
        <v>44158</v>
      </c>
      <c r="G2000" t="s">
        <v>8051</v>
      </c>
      <c r="H2000" t="s">
        <v>139</v>
      </c>
      <c r="J2000" t="s">
        <v>8052</v>
      </c>
      <c r="L2000" t="s">
        <v>291</v>
      </c>
      <c r="M2000" t="s">
        <v>8053</v>
      </c>
    </row>
    <row r="2001" spans="1:13" x14ac:dyDescent="0.25">
      <c r="A2001">
        <v>6637699</v>
      </c>
      <c r="B2001" t="s">
        <v>8054</v>
      </c>
      <c r="C2001" t="str">
        <f>"9783110613223"</f>
        <v>9783110613223</v>
      </c>
      <c r="D2001" t="str">
        <f>"9783110614619"</f>
        <v>9783110614619</v>
      </c>
      <c r="E2001" t="s">
        <v>350</v>
      </c>
      <c r="F2001" s="1">
        <v>43850</v>
      </c>
      <c r="G2001" t="s">
        <v>8055</v>
      </c>
      <c r="H2001" t="s">
        <v>851</v>
      </c>
      <c r="L2001" t="s">
        <v>291</v>
      </c>
      <c r="M2001" t="s">
        <v>8056</v>
      </c>
    </row>
    <row r="2002" spans="1:13" x14ac:dyDescent="0.25">
      <c r="A2002">
        <v>6637704</v>
      </c>
      <c r="B2002" t="s">
        <v>8057</v>
      </c>
      <c r="C2002" t="str">
        <f>""</f>
        <v/>
      </c>
      <c r="D2002" t="str">
        <f>"9789048542895"</f>
        <v>9789048542895</v>
      </c>
      <c r="E2002" t="s">
        <v>4128</v>
      </c>
      <c r="F2002" s="1">
        <v>43475</v>
      </c>
      <c r="G2002" t="s">
        <v>8058</v>
      </c>
      <c r="H2002" t="s">
        <v>851</v>
      </c>
      <c r="L2002" t="s">
        <v>20</v>
      </c>
      <c r="M2002" t="s">
        <v>8059</v>
      </c>
    </row>
    <row r="2003" spans="1:13" x14ac:dyDescent="0.25">
      <c r="A2003">
        <v>6637705</v>
      </c>
      <c r="B2003" t="s">
        <v>8060</v>
      </c>
      <c r="C2003" t="str">
        <f>""</f>
        <v/>
      </c>
      <c r="D2003" t="str">
        <f>"9783110650464"</f>
        <v>9783110650464</v>
      </c>
      <c r="E2003" t="s">
        <v>350</v>
      </c>
      <c r="F2003" s="1">
        <v>43927</v>
      </c>
      <c r="G2003" t="s">
        <v>8061</v>
      </c>
      <c r="H2003" t="s">
        <v>16</v>
      </c>
      <c r="J2003">
        <v>128</v>
      </c>
      <c r="L2003" t="s">
        <v>20</v>
      </c>
      <c r="M2003" t="s">
        <v>8062</v>
      </c>
    </row>
    <row r="2004" spans="1:13" x14ac:dyDescent="0.25">
      <c r="A2004">
        <v>6637707</v>
      </c>
      <c r="B2004" t="s">
        <v>7666</v>
      </c>
      <c r="C2004" t="str">
        <f>"9783110614497"</f>
        <v>9783110614497</v>
      </c>
      <c r="D2004" t="str">
        <f>"9783110614589"</f>
        <v>9783110614589</v>
      </c>
      <c r="E2004" t="s">
        <v>350</v>
      </c>
      <c r="F2004" s="1">
        <v>43731</v>
      </c>
      <c r="G2004" t="s">
        <v>7667</v>
      </c>
      <c r="H2004" t="s">
        <v>266</v>
      </c>
      <c r="L2004" t="s">
        <v>291</v>
      </c>
      <c r="M2004" t="s">
        <v>8063</v>
      </c>
    </row>
    <row r="2005" spans="1:13" x14ac:dyDescent="0.25">
      <c r="A2005">
        <v>6637708</v>
      </c>
      <c r="B2005" t="s">
        <v>8064</v>
      </c>
      <c r="C2005" t="str">
        <f>""</f>
        <v/>
      </c>
      <c r="D2005" t="str">
        <f>"9783110659054"</f>
        <v>9783110659054</v>
      </c>
      <c r="E2005" t="s">
        <v>350</v>
      </c>
      <c r="F2005" s="1">
        <v>43682</v>
      </c>
      <c r="G2005" t="s">
        <v>8065</v>
      </c>
      <c r="H2005" t="s">
        <v>64</v>
      </c>
      <c r="J2005" t="s">
        <v>8066</v>
      </c>
      <c r="L2005" t="s">
        <v>20</v>
      </c>
      <c r="M2005" t="s">
        <v>8067</v>
      </c>
    </row>
    <row r="2006" spans="1:13" x14ac:dyDescent="0.25">
      <c r="A2006">
        <v>6637709</v>
      </c>
      <c r="B2006" t="s">
        <v>8068</v>
      </c>
      <c r="C2006" t="str">
        <f>"9783110615913"</f>
        <v>9783110615913</v>
      </c>
      <c r="D2006" t="str">
        <f>"9783110615937"</f>
        <v>9783110615937</v>
      </c>
      <c r="E2006" t="s">
        <v>350</v>
      </c>
      <c r="F2006" s="1">
        <v>44053</v>
      </c>
      <c r="G2006" t="s">
        <v>8069</v>
      </c>
      <c r="H2006" t="s">
        <v>70</v>
      </c>
      <c r="L2006" t="s">
        <v>20</v>
      </c>
      <c r="M2006" t="s">
        <v>8070</v>
      </c>
    </row>
    <row r="2007" spans="1:13" x14ac:dyDescent="0.25">
      <c r="A2007">
        <v>6637710</v>
      </c>
      <c r="B2007" t="s">
        <v>8071</v>
      </c>
      <c r="C2007" t="str">
        <f>""</f>
        <v/>
      </c>
      <c r="D2007" t="str">
        <f>"9783110650723"</f>
        <v>9783110650723</v>
      </c>
      <c r="E2007" t="s">
        <v>350</v>
      </c>
      <c r="F2007" s="1">
        <v>43774</v>
      </c>
      <c r="G2007" t="s">
        <v>8072</v>
      </c>
      <c r="H2007" t="s">
        <v>2368</v>
      </c>
      <c r="J2007" t="s">
        <v>8073</v>
      </c>
      <c r="L2007" t="s">
        <v>20</v>
      </c>
      <c r="M2007" t="s">
        <v>8074</v>
      </c>
    </row>
    <row r="2008" spans="1:13" x14ac:dyDescent="0.25">
      <c r="A2008">
        <v>6637711</v>
      </c>
      <c r="B2008" t="s">
        <v>8075</v>
      </c>
      <c r="C2008" t="str">
        <f>""</f>
        <v/>
      </c>
      <c r="D2008" t="str">
        <f>"9783110642636"</f>
        <v>9783110642636</v>
      </c>
      <c r="E2008" t="s">
        <v>350</v>
      </c>
      <c r="F2008" s="1">
        <v>43528</v>
      </c>
      <c r="G2008" t="s">
        <v>2736</v>
      </c>
      <c r="H2008" t="s">
        <v>8076</v>
      </c>
      <c r="L2008" t="s">
        <v>20</v>
      </c>
      <c r="M2008" t="s">
        <v>8077</v>
      </c>
    </row>
    <row r="2009" spans="1:13" x14ac:dyDescent="0.25">
      <c r="A2009">
        <v>6637712</v>
      </c>
      <c r="B2009" t="s">
        <v>8078</v>
      </c>
      <c r="C2009" t="str">
        <f>""</f>
        <v/>
      </c>
      <c r="D2009" t="str">
        <f>"9783110662979"</f>
        <v>9783110662979</v>
      </c>
      <c r="E2009" t="s">
        <v>350</v>
      </c>
      <c r="F2009" s="1">
        <v>43591</v>
      </c>
      <c r="G2009" t="s">
        <v>7680</v>
      </c>
      <c r="H2009" t="s">
        <v>266</v>
      </c>
      <c r="L2009" t="s">
        <v>20</v>
      </c>
      <c r="M2009" t="s">
        <v>8079</v>
      </c>
    </row>
    <row r="2010" spans="1:13" x14ac:dyDescent="0.25">
      <c r="A2010">
        <v>6637716</v>
      </c>
      <c r="B2010" t="s">
        <v>8080</v>
      </c>
      <c r="C2010" t="str">
        <f>""</f>
        <v/>
      </c>
      <c r="D2010" t="str">
        <f>"9783110664744"</f>
        <v>9783110664744</v>
      </c>
      <c r="E2010" t="s">
        <v>350</v>
      </c>
      <c r="F2010" s="1">
        <v>44018</v>
      </c>
      <c r="G2010" t="s">
        <v>8081</v>
      </c>
      <c r="H2010" t="s">
        <v>8082</v>
      </c>
      <c r="L2010" t="s">
        <v>20</v>
      </c>
      <c r="M2010" t="s">
        <v>8083</v>
      </c>
    </row>
    <row r="2011" spans="1:13" x14ac:dyDescent="0.25">
      <c r="A2011">
        <v>6637723</v>
      </c>
      <c r="B2011" t="s">
        <v>8084</v>
      </c>
      <c r="C2011" t="str">
        <f>"9783110595796"</f>
        <v>9783110595796</v>
      </c>
      <c r="D2011" t="str">
        <f>"9783110595925"</f>
        <v>9783110595925</v>
      </c>
      <c r="E2011" t="s">
        <v>350</v>
      </c>
      <c r="F2011" s="1">
        <v>43759</v>
      </c>
      <c r="G2011" t="s">
        <v>8085</v>
      </c>
      <c r="H2011" t="s">
        <v>16</v>
      </c>
      <c r="L2011" t="s">
        <v>291</v>
      </c>
      <c r="M2011" t="s">
        <v>8086</v>
      </c>
    </row>
    <row r="2012" spans="1:13" x14ac:dyDescent="0.25">
      <c r="A2012">
        <v>6637728</v>
      </c>
      <c r="B2012" t="s">
        <v>8087</v>
      </c>
      <c r="C2012" t="str">
        <f>""</f>
        <v/>
      </c>
      <c r="D2012" t="str">
        <f>"9783110615876"</f>
        <v>9783110615876</v>
      </c>
      <c r="E2012" t="s">
        <v>350</v>
      </c>
      <c r="F2012" s="1">
        <v>43591</v>
      </c>
      <c r="G2012" t="s">
        <v>8088</v>
      </c>
      <c r="H2012" t="s">
        <v>16</v>
      </c>
      <c r="L2012" t="s">
        <v>291</v>
      </c>
      <c r="M2012" t="s">
        <v>8089</v>
      </c>
    </row>
    <row r="2013" spans="1:13" x14ac:dyDescent="0.25">
      <c r="A2013">
        <v>6637729</v>
      </c>
      <c r="B2013" t="s">
        <v>8090</v>
      </c>
      <c r="C2013" t="str">
        <f>""</f>
        <v/>
      </c>
      <c r="D2013" t="str">
        <f>"9783110653540"</f>
        <v>9783110653540</v>
      </c>
      <c r="E2013" t="s">
        <v>350</v>
      </c>
      <c r="F2013" s="1">
        <v>43990</v>
      </c>
      <c r="G2013" t="s">
        <v>8091</v>
      </c>
      <c r="H2013" t="s">
        <v>288</v>
      </c>
      <c r="L2013" t="s">
        <v>20</v>
      </c>
      <c r="M2013" t="s">
        <v>8092</v>
      </c>
    </row>
    <row r="2014" spans="1:13" x14ac:dyDescent="0.25">
      <c r="A2014">
        <v>6637732</v>
      </c>
      <c r="B2014" t="s">
        <v>8093</v>
      </c>
      <c r="C2014" t="str">
        <f>"9783110541199"</f>
        <v>9783110541199</v>
      </c>
      <c r="D2014" t="str">
        <f>"9783110541588"</f>
        <v>9783110541588</v>
      </c>
      <c r="E2014" t="s">
        <v>350</v>
      </c>
      <c r="F2014" s="1">
        <v>43605</v>
      </c>
      <c r="G2014" t="s">
        <v>8094</v>
      </c>
      <c r="H2014" t="s">
        <v>3973</v>
      </c>
      <c r="L2014" t="s">
        <v>291</v>
      </c>
      <c r="M2014" t="s">
        <v>8095</v>
      </c>
    </row>
    <row r="2015" spans="1:13" x14ac:dyDescent="0.25">
      <c r="A2015">
        <v>6637735</v>
      </c>
      <c r="B2015" t="s">
        <v>8096</v>
      </c>
      <c r="C2015" t="str">
        <f>"9783110616330"</f>
        <v>9783110616330</v>
      </c>
      <c r="D2015" t="str">
        <f>"9783110616347"</f>
        <v>9783110616347</v>
      </c>
      <c r="E2015" t="s">
        <v>350</v>
      </c>
      <c r="F2015" s="1">
        <v>43829</v>
      </c>
      <c r="G2015" t="s">
        <v>8097</v>
      </c>
      <c r="H2015" t="s">
        <v>1657</v>
      </c>
      <c r="L2015" t="s">
        <v>20</v>
      </c>
      <c r="M2015" t="s">
        <v>8098</v>
      </c>
    </row>
    <row r="2016" spans="1:13" x14ac:dyDescent="0.25">
      <c r="A2016">
        <v>6637736</v>
      </c>
      <c r="B2016" t="s">
        <v>8099</v>
      </c>
      <c r="C2016" t="str">
        <f>""</f>
        <v/>
      </c>
      <c r="D2016" t="str">
        <f>"9783110677058"</f>
        <v>9783110677058</v>
      </c>
      <c r="E2016" t="s">
        <v>350</v>
      </c>
      <c r="F2016" s="1">
        <v>44116</v>
      </c>
      <c r="G2016" t="s">
        <v>8100</v>
      </c>
      <c r="H2016" t="s">
        <v>70</v>
      </c>
      <c r="L2016" t="s">
        <v>291</v>
      </c>
      <c r="M2016" t="s">
        <v>8101</v>
      </c>
    </row>
    <row r="2017" spans="1:13" x14ac:dyDescent="0.25">
      <c r="A2017">
        <v>6637740</v>
      </c>
      <c r="B2017" t="s">
        <v>8102</v>
      </c>
      <c r="C2017" t="str">
        <f>""</f>
        <v/>
      </c>
      <c r="D2017" t="str">
        <f>"9783110677713"</f>
        <v>9783110677713</v>
      </c>
      <c r="E2017" t="s">
        <v>350</v>
      </c>
      <c r="F2017" s="1">
        <v>44095</v>
      </c>
      <c r="G2017" t="s">
        <v>8103</v>
      </c>
      <c r="H2017" t="s">
        <v>3973</v>
      </c>
      <c r="L2017" t="s">
        <v>291</v>
      </c>
      <c r="M2017" t="s">
        <v>8104</v>
      </c>
    </row>
    <row r="2018" spans="1:13" x14ac:dyDescent="0.25">
      <c r="A2018">
        <v>6637741</v>
      </c>
      <c r="B2018" t="s">
        <v>8105</v>
      </c>
      <c r="C2018" t="str">
        <f>""</f>
        <v/>
      </c>
      <c r="D2018" t="str">
        <f>"9783110584707"</f>
        <v>9783110584707</v>
      </c>
      <c r="E2018" t="s">
        <v>350</v>
      </c>
      <c r="F2018" s="1">
        <v>43885</v>
      </c>
      <c r="G2018" t="s">
        <v>8106</v>
      </c>
      <c r="H2018" t="s">
        <v>70</v>
      </c>
      <c r="L2018" t="s">
        <v>291</v>
      </c>
      <c r="M2018" t="s">
        <v>8107</v>
      </c>
    </row>
    <row r="2019" spans="1:13" x14ac:dyDescent="0.25">
      <c r="A2019">
        <v>6637784</v>
      </c>
      <c r="B2019" t="s">
        <v>8108</v>
      </c>
      <c r="C2019" t="str">
        <f>"9783319928098"</f>
        <v>9783319928098</v>
      </c>
      <c r="D2019" t="str">
        <f>"9783319928104"</f>
        <v>9783319928104</v>
      </c>
      <c r="E2019" t="s">
        <v>2905</v>
      </c>
      <c r="F2019" s="1">
        <v>44351</v>
      </c>
      <c r="G2019" t="s">
        <v>8109</v>
      </c>
      <c r="H2019" t="s">
        <v>4915</v>
      </c>
      <c r="I2019" t="s">
        <v>6921</v>
      </c>
      <c r="L2019" t="s">
        <v>20</v>
      </c>
      <c r="M2019" t="s">
        <v>8110</v>
      </c>
    </row>
    <row r="2020" spans="1:13" x14ac:dyDescent="0.25">
      <c r="A2020">
        <v>6637789</v>
      </c>
      <c r="B2020" t="s">
        <v>8111</v>
      </c>
      <c r="C2020" t="str">
        <f>"9789813349919"</f>
        <v>9789813349919</v>
      </c>
      <c r="D2020" t="str">
        <f>"9789813349926"</f>
        <v>9789813349926</v>
      </c>
      <c r="E2020" t="s">
        <v>4099</v>
      </c>
      <c r="F2020" s="1">
        <v>44352</v>
      </c>
      <c r="G2020" t="s">
        <v>8112</v>
      </c>
      <c r="H2020" t="s">
        <v>2657</v>
      </c>
      <c r="I2020" t="s">
        <v>8113</v>
      </c>
      <c r="L2020" t="s">
        <v>20</v>
      </c>
      <c r="M2020" t="s">
        <v>8114</v>
      </c>
    </row>
    <row r="2021" spans="1:13" x14ac:dyDescent="0.25">
      <c r="A2021">
        <v>6638232</v>
      </c>
      <c r="B2021" t="s">
        <v>8115</v>
      </c>
      <c r="C2021" t="str">
        <f>"9781800641839"</f>
        <v>9781800641839</v>
      </c>
      <c r="D2021" t="str">
        <f>"9781800641846"</f>
        <v>9781800641846</v>
      </c>
      <c r="E2021" t="s">
        <v>2270</v>
      </c>
      <c r="F2021" s="1">
        <v>44347</v>
      </c>
      <c r="G2021" t="s">
        <v>8116</v>
      </c>
      <c r="H2021" t="s">
        <v>8117</v>
      </c>
      <c r="L2021" t="s">
        <v>20</v>
      </c>
      <c r="M2021" t="s">
        <v>8118</v>
      </c>
    </row>
    <row r="2022" spans="1:13" x14ac:dyDescent="0.25">
      <c r="A2022">
        <v>6638830</v>
      </c>
      <c r="B2022" t="s">
        <v>8119</v>
      </c>
      <c r="C2022" t="str">
        <f>"9783030698812"</f>
        <v>9783030698812</v>
      </c>
      <c r="D2022" t="str">
        <f>"9783030698829"</f>
        <v>9783030698829</v>
      </c>
      <c r="E2022" t="s">
        <v>2905</v>
      </c>
      <c r="F2022" s="1">
        <v>44355</v>
      </c>
      <c r="G2022" t="s">
        <v>8120</v>
      </c>
      <c r="H2022" t="s">
        <v>139</v>
      </c>
      <c r="I2022" t="s">
        <v>4619</v>
      </c>
      <c r="J2022">
        <v>948.97</v>
      </c>
      <c r="L2022" t="s">
        <v>20</v>
      </c>
      <c r="M2022" t="s">
        <v>8121</v>
      </c>
    </row>
    <row r="2023" spans="1:13" x14ac:dyDescent="0.25">
      <c r="A2023">
        <v>6639200</v>
      </c>
      <c r="B2023" t="s">
        <v>8122</v>
      </c>
      <c r="C2023" t="str">
        <f>"9783658339265"</f>
        <v>9783658339265</v>
      </c>
      <c r="D2023" t="str">
        <f>"9783658339272"</f>
        <v>9783658339272</v>
      </c>
      <c r="E2023" t="s">
        <v>4472</v>
      </c>
      <c r="F2023" s="1">
        <v>44356</v>
      </c>
      <c r="G2023" t="s">
        <v>8123</v>
      </c>
      <c r="H2023" t="s">
        <v>64</v>
      </c>
      <c r="I2023" t="s">
        <v>4102</v>
      </c>
      <c r="L2023" t="s">
        <v>291</v>
      </c>
      <c r="M2023" t="s">
        <v>8124</v>
      </c>
    </row>
    <row r="2024" spans="1:13" x14ac:dyDescent="0.25">
      <c r="A2024">
        <v>6639843</v>
      </c>
      <c r="B2024" t="s">
        <v>8125</v>
      </c>
      <c r="C2024" t="str">
        <f>"9789462984059"</f>
        <v>9789462984059</v>
      </c>
      <c r="D2024" t="str">
        <f>"9789048534586"</f>
        <v>9789048534586</v>
      </c>
      <c r="E2024" t="s">
        <v>4128</v>
      </c>
      <c r="F2024" s="1">
        <v>42948</v>
      </c>
      <c r="G2024" t="s">
        <v>8126</v>
      </c>
      <c r="H2024" t="s">
        <v>169</v>
      </c>
      <c r="L2024" t="s">
        <v>20</v>
      </c>
      <c r="M2024" t="s">
        <v>8127</v>
      </c>
    </row>
    <row r="2025" spans="1:13" x14ac:dyDescent="0.25">
      <c r="A2025">
        <v>6640049</v>
      </c>
      <c r="B2025" t="s">
        <v>8128</v>
      </c>
      <c r="C2025" t="str">
        <f>"9783030780975"</f>
        <v>9783030780975</v>
      </c>
      <c r="D2025" t="str">
        <f>"9783030780982"</f>
        <v>9783030780982</v>
      </c>
      <c r="E2025" t="s">
        <v>2905</v>
      </c>
      <c r="F2025" s="1">
        <v>44357</v>
      </c>
      <c r="G2025" t="s">
        <v>8129</v>
      </c>
      <c r="H2025" t="s">
        <v>712</v>
      </c>
      <c r="I2025" t="s">
        <v>4774</v>
      </c>
      <c r="L2025" t="s">
        <v>20</v>
      </c>
      <c r="M2025" t="s">
        <v>8130</v>
      </c>
    </row>
    <row r="2026" spans="1:13" x14ac:dyDescent="0.25">
      <c r="A2026">
        <v>6640074</v>
      </c>
      <c r="B2026" t="s">
        <v>8131</v>
      </c>
      <c r="C2026" t="str">
        <f>"9783030717636"</f>
        <v>9783030717636</v>
      </c>
      <c r="D2026" t="str">
        <f>"9783030717643"</f>
        <v>9783030717643</v>
      </c>
      <c r="E2026" t="s">
        <v>2905</v>
      </c>
      <c r="F2026" s="1">
        <v>44357</v>
      </c>
      <c r="G2026" t="s">
        <v>8132</v>
      </c>
      <c r="H2026" t="s">
        <v>1753</v>
      </c>
      <c r="I2026" t="s">
        <v>7358</v>
      </c>
      <c r="L2026" t="s">
        <v>20</v>
      </c>
      <c r="M2026" t="s">
        <v>8133</v>
      </c>
    </row>
    <row r="2027" spans="1:13" x14ac:dyDescent="0.25">
      <c r="A2027">
        <v>6640078</v>
      </c>
      <c r="B2027" t="s">
        <v>8134</v>
      </c>
      <c r="C2027" t="str">
        <f>"9783030668907"</f>
        <v>9783030668907</v>
      </c>
      <c r="D2027" t="str">
        <f>"9783030668914"</f>
        <v>9783030668914</v>
      </c>
      <c r="E2027" t="s">
        <v>2905</v>
      </c>
      <c r="F2027" s="1">
        <v>44357</v>
      </c>
      <c r="G2027" t="s">
        <v>8135</v>
      </c>
      <c r="H2027" t="s">
        <v>712</v>
      </c>
      <c r="I2027" t="s">
        <v>8136</v>
      </c>
      <c r="L2027" t="s">
        <v>20</v>
      </c>
      <c r="M2027" t="s">
        <v>8137</v>
      </c>
    </row>
    <row r="2028" spans="1:13" x14ac:dyDescent="0.25">
      <c r="A2028">
        <v>6647696</v>
      </c>
      <c r="B2028" t="s">
        <v>8138</v>
      </c>
      <c r="C2028" t="str">
        <f>"9781800641204"</f>
        <v>9781800641204</v>
      </c>
      <c r="D2028" t="str">
        <f>"9781800641211"</f>
        <v>9781800641211</v>
      </c>
      <c r="E2028" t="s">
        <v>2270</v>
      </c>
      <c r="F2028" s="1">
        <v>44363</v>
      </c>
      <c r="G2028" t="s">
        <v>8139</v>
      </c>
      <c r="H2028" t="s">
        <v>70</v>
      </c>
      <c r="I2028" t="s">
        <v>8140</v>
      </c>
      <c r="J2028">
        <v>891.70899999999995</v>
      </c>
      <c r="K2028" t="s">
        <v>8141</v>
      </c>
      <c r="L2028" t="s">
        <v>20</v>
      </c>
      <c r="M2028" t="s">
        <v>8142</v>
      </c>
    </row>
    <row r="2029" spans="1:13" x14ac:dyDescent="0.25">
      <c r="A2029">
        <v>6647753</v>
      </c>
      <c r="B2029" t="s">
        <v>8143</v>
      </c>
      <c r="C2029" t="str">
        <f>"9783030499945"</f>
        <v>9783030499945</v>
      </c>
      <c r="D2029" t="str">
        <f>"9783030499952"</f>
        <v>9783030499952</v>
      </c>
      <c r="E2029" t="s">
        <v>2905</v>
      </c>
      <c r="F2029" s="1">
        <v>44370</v>
      </c>
      <c r="G2029" t="s">
        <v>8144</v>
      </c>
      <c r="H2029" t="s">
        <v>712</v>
      </c>
      <c r="I2029" t="s">
        <v>8145</v>
      </c>
      <c r="L2029" t="s">
        <v>20</v>
      </c>
      <c r="M2029" t="s">
        <v>8146</v>
      </c>
    </row>
    <row r="2030" spans="1:13" x14ac:dyDescent="0.25">
      <c r="A2030">
        <v>6648423</v>
      </c>
      <c r="B2030" t="s">
        <v>8147</v>
      </c>
      <c r="C2030" t="str">
        <f>"9783030701758"</f>
        <v>9783030701758</v>
      </c>
      <c r="D2030" t="str">
        <f>"9783030701765"</f>
        <v>9783030701765</v>
      </c>
      <c r="E2030" t="s">
        <v>2905</v>
      </c>
      <c r="F2030" s="1">
        <v>44322</v>
      </c>
      <c r="G2030" t="s">
        <v>8148</v>
      </c>
      <c r="H2030" t="s">
        <v>2258</v>
      </c>
      <c r="I2030" t="s">
        <v>5436</v>
      </c>
      <c r="L2030" t="s">
        <v>20</v>
      </c>
      <c r="M2030" t="s">
        <v>8149</v>
      </c>
    </row>
    <row r="2031" spans="1:13" x14ac:dyDescent="0.25">
      <c r="A2031">
        <v>6652280</v>
      </c>
      <c r="B2031" t="s">
        <v>8150</v>
      </c>
      <c r="C2031" t="str">
        <f>"9783030566920"</f>
        <v>9783030566920</v>
      </c>
      <c r="D2031" t="str">
        <f>"9783030566944"</f>
        <v>9783030566944</v>
      </c>
      <c r="E2031" t="s">
        <v>2905</v>
      </c>
      <c r="F2031" s="1">
        <v>44376</v>
      </c>
      <c r="G2031" t="s">
        <v>8151</v>
      </c>
      <c r="H2031" t="s">
        <v>1178</v>
      </c>
      <c r="I2031" t="s">
        <v>8152</v>
      </c>
      <c r="L2031" t="s">
        <v>20</v>
      </c>
      <c r="M2031" t="s">
        <v>8153</v>
      </c>
    </row>
    <row r="2032" spans="1:13" x14ac:dyDescent="0.25">
      <c r="A2032">
        <v>6660156</v>
      </c>
      <c r="B2032" t="s">
        <v>8154</v>
      </c>
      <c r="C2032" t="str">
        <f>"9783030750305"</f>
        <v>9783030750305</v>
      </c>
      <c r="D2032" t="str">
        <f>"9783030750312"</f>
        <v>9783030750312</v>
      </c>
      <c r="E2032" t="s">
        <v>2905</v>
      </c>
      <c r="F2032" s="1">
        <v>44377</v>
      </c>
      <c r="G2032" t="s">
        <v>8155</v>
      </c>
      <c r="H2032" t="s">
        <v>1753</v>
      </c>
      <c r="I2032" t="s">
        <v>5403</v>
      </c>
      <c r="L2032" t="s">
        <v>20</v>
      </c>
      <c r="M2032" t="s">
        <v>8156</v>
      </c>
    </row>
    <row r="2033" spans="1:13" x14ac:dyDescent="0.25">
      <c r="A2033">
        <v>6660239</v>
      </c>
      <c r="B2033" t="s">
        <v>8157</v>
      </c>
      <c r="C2033" t="str">
        <f>"9781978804555"</f>
        <v>9781978804555</v>
      </c>
      <c r="D2033" t="str">
        <f>"9781978804586"</f>
        <v>9781978804586</v>
      </c>
      <c r="E2033" t="s">
        <v>264</v>
      </c>
      <c r="F2033" s="1">
        <v>44365</v>
      </c>
      <c r="G2033" t="s">
        <v>8158</v>
      </c>
      <c r="H2033" t="s">
        <v>8159</v>
      </c>
      <c r="I2033" t="s">
        <v>8160</v>
      </c>
      <c r="J2033">
        <v>362.19888009662998</v>
      </c>
      <c r="L2033" t="s">
        <v>20</v>
      </c>
      <c r="M2033" t="s">
        <v>8161</v>
      </c>
    </row>
    <row r="2034" spans="1:13" x14ac:dyDescent="0.25">
      <c r="A2034">
        <v>6661645</v>
      </c>
      <c r="B2034" t="s">
        <v>8162</v>
      </c>
      <c r="C2034" t="str">
        <f>"9783658341145"</f>
        <v>9783658341145</v>
      </c>
      <c r="D2034" t="str">
        <f>"9783658341152"</f>
        <v>9783658341152</v>
      </c>
      <c r="E2034" t="s">
        <v>4472</v>
      </c>
      <c r="F2034" s="1">
        <v>44378</v>
      </c>
      <c r="G2034" t="s">
        <v>8163</v>
      </c>
      <c r="H2034" t="s">
        <v>363</v>
      </c>
      <c r="I2034" t="s">
        <v>8164</v>
      </c>
      <c r="L2034" t="s">
        <v>291</v>
      </c>
      <c r="M2034" t="s">
        <v>8165</v>
      </c>
    </row>
    <row r="2035" spans="1:13" x14ac:dyDescent="0.25">
      <c r="A2035">
        <v>6665443</v>
      </c>
      <c r="B2035" t="s">
        <v>8166</v>
      </c>
      <c r="C2035" t="str">
        <f>"9789811604546"</f>
        <v>9789811604546</v>
      </c>
      <c r="D2035" t="str">
        <f>"9789811604553"</f>
        <v>9789811604553</v>
      </c>
      <c r="E2035" t="s">
        <v>4099</v>
      </c>
      <c r="F2035" s="1">
        <v>44370</v>
      </c>
      <c r="G2035" t="s">
        <v>8167</v>
      </c>
      <c r="H2035" t="s">
        <v>41</v>
      </c>
      <c r="I2035" t="s">
        <v>8168</v>
      </c>
      <c r="J2035">
        <v>338.95100904499998</v>
      </c>
      <c r="L2035" t="s">
        <v>20</v>
      </c>
      <c r="M2035" t="s">
        <v>8169</v>
      </c>
    </row>
    <row r="2036" spans="1:13" x14ac:dyDescent="0.25">
      <c r="A2036">
        <v>6665457</v>
      </c>
      <c r="B2036" t="s">
        <v>8170</v>
      </c>
      <c r="C2036" t="str">
        <f>"9783030737696"</f>
        <v>9783030737696</v>
      </c>
      <c r="D2036" t="str">
        <f>"9783030737702"</f>
        <v>9783030737702</v>
      </c>
      <c r="E2036" t="s">
        <v>2905</v>
      </c>
      <c r="F2036" s="1">
        <v>44376</v>
      </c>
      <c r="G2036" t="s">
        <v>8171</v>
      </c>
      <c r="H2036" t="s">
        <v>246</v>
      </c>
      <c r="I2036" t="s">
        <v>6868</v>
      </c>
      <c r="J2036">
        <v>707.1</v>
      </c>
      <c r="L2036" t="s">
        <v>20</v>
      </c>
      <c r="M2036" t="s">
        <v>8172</v>
      </c>
    </row>
    <row r="2037" spans="1:13" x14ac:dyDescent="0.25">
      <c r="A2037">
        <v>6670331</v>
      </c>
      <c r="B2037" t="s">
        <v>8173</v>
      </c>
      <c r="C2037" t="str">
        <f>"9783662635087"</f>
        <v>9783662635087</v>
      </c>
      <c r="D2037" t="str">
        <f>"9783662635094"</f>
        <v>9783662635094</v>
      </c>
      <c r="E2037" t="s">
        <v>4540</v>
      </c>
      <c r="F2037" s="1">
        <v>44382</v>
      </c>
      <c r="G2037" t="s">
        <v>8174</v>
      </c>
      <c r="H2037" t="s">
        <v>2597</v>
      </c>
      <c r="I2037" t="s">
        <v>8175</v>
      </c>
      <c r="L2037" t="s">
        <v>291</v>
      </c>
      <c r="M2037" t="s">
        <v>8176</v>
      </c>
    </row>
    <row r="2038" spans="1:13" x14ac:dyDescent="0.25">
      <c r="A2038">
        <v>6676589</v>
      </c>
      <c r="B2038" t="s">
        <v>8177</v>
      </c>
      <c r="C2038" t="str">
        <f>"9783030684785"</f>
        <v>9783030684785</v>
      </c>
      <c r="D2038" t="str">
        <f>"9783030684792"</f>
        <v>9783030684792</v>
      </c>
      <c r="E2038" t="s">
        <v>2905</v>
      </c>
      <c r="F2038" s="1">
        <v>44385</v>
      </c>
      <c r="G2038" t="s">
        <v>5528</v>
      </c>
      <c r="H2038" t="s">
        <v>1753</v>
      </c>
      <c r="I2038" t="s">
        <v>4609</v>
      </c>
      <c r="L2038" t="s">
        <v>20</v>
      </c>
      <c r="M2038" t="s">
        <v>8178</v>
      </c>
    </row>
    <row r="2039" spans="1:13" x14ac:dyDescent="0.25">
      <c r="A2039">
        <v>6676590</v>
      </c>
      <c r="B2039" t="s">
        <v>8179</v>
      </c>
      <c r="C2039" t="str">
        <f>"9783030639587"</f>
        <v>9783030639587</v>
      </c>
      <c r="D2039" t="str">
        <f>"9783030639600"</f>
        <v>9783030639600</v>
      </c>
      <c r="E2039" t="s">
        <v>2905</v>
      </c>
      <c r="F2039" s="1">
        <v>44378</v>
      </c>
      <c r="G2039" t="s">
        <v>8180</v>
      </c>
      <c r="H2039" t="s">
        <v>363</v>
      </c>
      <c r="I2039" t="s">
        <v>5186</v>
      </c>
      <c r="L2039" t="s">
        <v>20</v>
      </c>
      <c r="M2039" t="s">
        <v>8181</v>
      </c>
    </row>
    <row r="2040" spans="1:13" x14ac:dyDescent="0.25">
      <c r="A2040">
        <v>6676591</v>
      </c>
      <c r="B2040" t="s">
        <v>8182</v>
      </c>
      <c r="C2040" t="str">
        <f>"9783030718183"</f>
        <v>9783030718183</v>
      </c>
      <c r="D2040" t="str">
        <f>"9783030718190"</f>
        <v>9783030718190</v>
      </c>
      <c r="E2040" t="s">
        <v>2905</v>
      </c>
      <c r="F2040" s="1">
        <v>44372</v>
      </c>
      <c r="G2040" t="s">
        <v>8183</v>
      </c>
      <c r="H2040" t="s">
        <v>2603</v>
      </c>
      <c r="I2040" t="s">
        <v>6207</v>
      </c>
      <c r="L2040" t="s">
        <v>20</v>
      </c>
      <c r="M2040" t="s">
        <v>8184</v>
      </c>
    </row>
    <row r="2041" spans="1:13" x14ac:dyDescent="0.25">
      <c r="A2041">
        <v>6676592</v>
      </c>
      <c r="B2041" t="s">
        <v>8185</v>
      </c>
      <c r="C2041" t="str">
        <f>"9783030745851"</f>
        <v>9783030745851</v>
      </c>
      <c r="D2041" t="str">
        <f>"9783030745868"</f>
        <v>9783030745868</v>
      </c>
      <c r="E2041" t="s">
        <v>2905</v>
      </c>
      <c r="F2041" s="1">
        <v>44372</v>
      </c>
      <c r="G2041" t="s">
        <v>8186</v>
      </c>
      <c r="H2041" t="s">
        <v>4564</v>
      </c>
      <c r="I2041" t="s">
        <v>4744</v>
      </c>
      <c r="L2041" t="s">
        <v>20</v>
      </c>
      <c r="M2041" t="s">
        <v>8187</v>
      </c>
    </row>
    <row r="2042" spans="1:13" x14ac:dyDescent="0.25">
      <c r="A2042">
        <v>6676594</v>
      </c>
      <c r="B2042" t="s">
        <v>8188</v>
      </c>
      <c r="C2042" t="str">
        <f>"9783030681753"</f>
        <v>9783030681753</v>
      </c>
      <c r="D2042" t="str">
        <f>"9783030681760"</f>
        <v>9783030681760</v>
      </c>
      <c r="E2042" t="s">
        <v>2905</v>
      </c>
      <c r="F2042" s="1">
        <v>44378</v>
      </c>
      <c r="G2042" t="s">
        <v>8189</v>
      </c>
      <c r="H2042" t="s">
        <v>712</v>
      </c>
      <c r="I2042" t="s">
        <v>4553</v>
      </c>
      <c r="L2042" t="s">
        <v>20</v>
      </c>
      <c r="M2042" t="s">
        <v>8190</v>
      </c>
    </row>
    <row r="2043" spans="1:13" x14ac:dyDescent="0.25">
      <c r="A2043">
        <v>6676595</v>
      </c>
      <c r="B2043" t="s">
        <v>8191</v>
      </c>
      <c r="C2043" t="str">
        <f>"9783030645366"</f>
        <v>9783030645366</v>
      </c>
      <c r="D2043" t="str">
        <f>"9783030645373"</f>
        <v>9783030645373</v>
      </c>
      <c r="E2043" t="s">
        <v>2905</v>
      </c>
      <c r="F2043" s="1">
        <v>44372</v>
      </c>
      <c r="G2043" t="s">
        <v>8192</v>
      </c>
      <c r="H2043" t="s">
        <v>1586</v>
      </c>
      <c r="I2043" t="s">
        <v>8193</v>
      </c>
      <c r="J2043">
        <v>150.19880000000001</v>
      </c>
      <c r="L2043" t="s">
        <v>20</v>
      </c>
      <c r="M2043" t="s">
        <v>8194</v>
      </c>
    </row>
    <row r="2044" spans="1:13" x14ac:dyDescent="0.25">
      <c r="A2044">
        <v>6676596</v>
      </c>
      <c r="B2044" t="s">
        <v>8195</v>
      </c>
      <c r="C2044" t="str">
        <f>"9783030738341"</f>
        <v>9783030738341</v>
      </c>
      <c r="D2044" t="str">
        <f>"9783030738358"</f>
        <v>9783030738358</v>
      </c>
      <c r="E2044" t="s">
        <v>2905</v>
      </c>
      <c r="F2044" s="1">
        <v>44378</v>
      </c>
      <c r="G2044" t="s">
        <v>8196</v>
      </c>
      <c r="H2044" t="s">
        <v>239</v>
      </c>
      <c r="I2044" t="s">
        <v>4726</v>
      </c>
      <c r="L2044" t="s">
        <v>20</v>
      </c>
      <c r="M2044" t="s">
        <v>8197</v>
      </c>
    </row>
    <row r="2045" spans="1:13" x14ac:dyDescent="0.25">
      <c r="A2045">
        <v>6676597</v>
      </c>
      <c r="B2045" t="s">
        <v>8198</v>
      </c>
      <c r="C2045" t="str">
        <f>"9783030742171"</f>
        <v>9783030742171</v>
      </c>
      <c r="D2045" t="str">
        <f>"9783030742188"</f>
        <v>9783030742188</v>
      </c>
      <c r="E2045" t="s">
        <v>2905</v>
      </c>
      <c r="F2045" s="1">
        <v>44426</v>
      </c>
      <c r="G2045" t="s">
        <v>8199</v>
      </c>
      <c r="H2045" t="s">
        <v>712</v>
      </c>
      <c r="I2045" t="s">
        <v>8200</v>
      </c>
      <c r="L2045" t="s">
        <v>20</v>
      </c>
      <c r="M2045" t="s">
        <v>8201</v>
      </c>
    </row>
    <row r="2046" spans="1:13" x14ac:dyDescent="0.25">
      <c r="A2046">
        <v>6676598</v>
      </c>
      <c r="B2046" t="s">
        <v>8202</v>
      </c>
      <c r="C2046" t="str">
        <f>"9783030748500"</f>
        <v>9783030748500</v>
      </c>
      <c r="D2046" t="str">
        <f>"9783030748517"</f>
        <v>9783030748517</v>
      </c>
      <c r="E2046" t="s">
        <v>2905</v>
      </c>
      <c r="F2046" s="1">
        <v>44378</v>
      </c>
      <c r="G2046" t="s">
        <v>8203</v>
      </c>
      <c r="H2046" t="s">
        <v>239</v>
      </c>
      <c r="I2046" t="s">
        <v>5800</v>
      </c>
      <c r="L2046" t="s">
        <v>20</v>
      </c>
      <c r="M2046" t="s">
        <v>8204</v>
      </c>
    </row>
    <row r="2047" spans="1:13" x14ac:dyDescent="0.25">
      <c r="A2047">
        <v>6676599</v>
      </c>
      <c r="B2047" t="s">
        <v>8205</v>
      </c>
      <c r="C2047" t="str">
        <f>"9783030798758"</f>
        <v>9783030798758</v>
      </c>
      <c r="D2047" t="str">
        <f>"9783030798765"</f>
        <v>9783030798765</v>
      </c>
      <c r="E2047" t="s">
        <v>2905</v>
      </c>
      <c r="F2047" s="1">
        <v>44385</v>
      </c>
      <c r="G2047" t="s">
        <v>8206</v>
      </c>
      <c r="H2047" t="s">
        <v>4180</v>
      </c>
      <c r="I2047" t="s">
        <v>4181</v>
      </c>
      <c r="L2047" t="s">
        <v>20</v>
      </c>
      <c r="M2047" t="s">
        <v>8207</v>
      </c>
    </row>
    <row r="2048" spans="1:13" x14ac:dyDescent="0.25">
      <c r="A2048">
        <v>6676600</v>
      </c>
      <c r="B2048" t="s">
        <v>8208</v>
      </c>
      <c r="C2048" t="str">
        <f>"9783030798505"</f>
        <v>9783030798505</v>
      </c>
      <c r="D2048" t="str">
        <f>"9783030798512"</f>
        <v>9783030798512</v>
      </c>
      <c r="E2048" t="s">
        <v>2905</v>
      </c>
      <c r="F2048" s="1">
        <v>44380</v>
      </c>
      <c r="G2048" t="s">
        <v>8209</v>
      </c>
      <c r="H2048" t="s">
        <v>1753</v>
      </c>
      <c r="I2048" t="s">
        <v>6177</v>
      </c>
      <c r="L2048" t="s">
        <v>20</v>
      </c>
      <c r="M2048" t="s">
        <v>8210</v>
      </c>
    </row>
    <row r="2049" spans="1:13" x14ac:dyDescent="0.25">
      <c r="A2049">
        <v>6676601</v>
      </c>
      <c r="B2049" t="s">
        <v>8211</v>
      </c>
      <c r="C2049" t="str">
        <f>"9783658337544"</f>
        <v>9783658337544</v>
      </c>
      <c r="D2049" t="str">
        <f>"9783658337551"</f>
        <v>9783658337551</v>
      </c>
      <c r="E2049" t="s">
        <v>4472</v>
      </c>
      <c r="F2049" s="1">
        <v>44372</v>
      </c>
      <c r="G2049" t="s">
        <v>8212</v>
      </c>
      <c r="H2049" t="s">
        <v>30</v>
      </c>
      <c r="I2049" t="s">
        <v>8213</v>
      </c>
      <c r="L2049" t="s">
        <v>291</v>
      </c>
      <c r="M2049" t="s">
        <v>8214</v>
      </c>
    </row>
    <row r="2050" spans="1:13" x14ac:dyDescent="0.25">
      <c r="A2050">
        <v>6676602</v>
      </c>
      <c r="B2050" t="s">
        <v>8215</v>
      </c>
      <c r="C2050" t="str">
        <f>"9783658343651"</f>
        <v>9783658343651</v>
      </c>
      <c r="D2050" t="str">
        <f>"9783658343668"</f>
        <v>9783658343668</v>
      </c>
      <c r="E2050" t="s">
        <v>4472</v>
      </c>
      <c r="F2050" s="1">
        <v>44371</v>
      </c>
      <c r="G2050" t="s">
        <v>8216</v>
      </c>
      <c r="H2050" t="s">
        <v>30</v>
      </c>
      <c r="I2050" t="s">
        <v>5559</v>
      </c>
      <c r="L2050" t="s">
        <v>291</v>
      </c>
      <c r="M2050" t="s">
        <v>8217</v>
      </c>
    </row>
    <row r="2051" spans="1:13" x14ac:dyDescent="0.25">
      <c r="A2051">
        <v>6676603</v>
      </c>
      <c r="B2051" t="s">
        <v>8218</v>
      </c>
      <c r="C2051" t="str">
        <f>"9783662631065"</f>
        <v>9783662631065</v>
      </c>
      <c r="D2051" t="str">
        <f>"9783662631072"</f>
        <v>9783662631072</v>
      </c>
      <c r="E2051" t="s">
        <v>4540</v>
      </c>
      <c r="F2051" s="1">
        <v>44375</v>
      </c>
      <c r="G2051" t="s">
        <v>4559</v>
      </c>
      <c r="H2051" t="s">
        <v>1624</v>
      </c>
      <c r="I2051" t="s">
        <v>4560</v>
      </c>
      <c r="L2051" t="s">
        <v>291</v>
      </c>
      <c r="M2051" t="s">
        <v>8219</v>
      </c>
    </row>
    <row r="2052" spans="1:13" x14ac:dyDescent="0.25">
      <c r="A2052">
        <v>6676981</v>
      </c>
      <c r="B2052" t="s">
        <v>8220</v>
      </c>
      <c r="C2052" t="str">
        <f>"9781800642072"</f>
        <v>9781800642072</v>
      </c>
      <c r="D2052" t="str">
        <f>"9781800642089"</f>
        <v>9781800642089</v>
      </c>
      <c r="E2052" t="s">
        <v>2270</v>
      </c>
      <c r="F2052" s="1">
        <v>44392</v>
      </c>
      <c r="G2052" t="s">
        <v>8221</v>
      </c>
      <c r="H2052" t="s">
        <v>64</v>
      </c>
      <c r="I2052" t="s">
        <v>8222</v>
      </c>
      <c r="K2052" t="s">
        <v>8223</v>
      </c>
      <c r="L2052" t="s">
        <v>20</v>
      </c>
      <c r="M2052" t="s">
        <v>8224</v>
      </c>
    </row>
    <row r="2053" spans="1:13" x14ac:dyDescent="0.25">
      <c r="A2053">
        <v>6678416</v>
      </c>
      <c r="B2053" t="s">
        <v>8225</v>
      </c>
      <c r="C2053" t="str">
        <f>"9783030780708"</f>
        <v>9783030780708</v>
      </c>
      <c r="D2053" t="str">
        <f>"9783030780715"</f>
        <v>9783030780715</v>
      </c>
      <c r="E2053" t="s">
        <v>2905</v>
      </c>
      <c r="F2053" s="1">
        <v>44392</v>
      </c>
      <c r="G2053" t="s">
        <v>8226</v>
      </c>
      <c r="H2053" t="s">
        <v>1178</v>
      </c>
      <c r="I2053" t="s">
        <v>4084</v>
      </c>
      <c r="L2053" t="s">
        <v>20</v>
      </c>
      <c r="M2053" t="s">
        <v>8227</v>
      </c>
    </row>
    <row r="2054" spans="1:13" x14ac:dyDescent="0.25">
      <c r="A2054">
        <v>6679204</v>
      </c>
      <c r="B2054" t="s">
        <v>8228</v>
      </c>
      <c r="C2054" t="str">
        <f>"9783658344351"</f>
        <v>9783658344351</v>
      </c>
      <c r="D2054" t="str">
        <f>"9783658344368"</f>
        <v>9783658344368</v>
      </c>
      <c r="E2054" t="s">
        <v>4472</v>
      </c>
      <c r="F2054" s="1">
        <v>44393</v>
      </c>
      <c r="G2054" t="s">
        <v>8229</v>
      </c>
      <c r="H2054" t="s">
        <v>1753</v>
      </c>
      <c r="I2054" t="s">
        <v>8230</v>
      </c>
      <c r="L2054" t="s">
        <v>291</v>
      </c>
      <c r="M2054" t="s">
        <v>8231</v>
      </c>
    </row>
    <row r="2055" spans="1:13" x14ac:dyDescent="0.25">
      <c r="A2055">
        <v>6679205</v>
      </c>
      <c r="B2055" t="s">
        <v>8232</v>
      </c>
      <c r="C2055" t="str">
        <f>"9783030758288"</f>
        <v>9783030758288</v>
      </c>
      <c r="D2055" t="str">
        <f>"9783030758295"</f>
        <v>9783030758295</v>
      </c>
      <c r="E2055" t="s">
        <v>2905</v>
      </c>
      <c r="F2055" s="1">
        <v>44393</v>
      </c>
      <c r="G2055" t="s">
        <v>8233</v>
      </c>
      <c r="H2055" t="s">
        <v>1753</v>
      </c>
      <c r="I2055" t="s">
        <v>4753</v>
      </c>
      <c r="L2055" t="s">
        <v>20</v>
      </c>
      <c r="M2055" t="s">
        <v>8234</v>
      </c>
    </row>
    <row r="2056" spans="1:13" x14ac:dyDescent="0.25">
      <c r="A2056">
        <v>6679367</v>
      </c>
      <c r="B2056" t="s">
        <v>8235</v>
      </c>
      <c r="C2056" t="str">
        <f>"9783030816841"</f>
        <v>9783030816841</v>
      </c>
      <c r="D2056" t="str">
        <f>"9783030816858"</f>
        <v>9783030816858</v>
      </c>
      <c r="E2056" t="s">
        <v>2905</v>
      </c>
      <c r="F2056" s="1">
        <v>44395</v>
      </c>
      <c r="G2056" t="s">
        <v>8236</v>
      </c>
      <c r="H2056" t="s">
        <v>712</v>
      </c>
      <c r="I2056" t="s">
        <v>4774</v>
      </c>
      <c r="L2056" t="s">
        <v>20</v>
      </c>
      <c r="M2056" t="s">
        <v>8237</v>
      </c>
    </row>
    <row r="2057" spans="1:13" x14ac:dyDescent="0.25">
      <c r="A2057">
        <v>6679368</v>
      </c>
      <c r="B2057" t="s">
        <v>8238</v>
      </c>
      <c r="C2057" t="str">
        <f>"9783030816872"</f>
        <v>9783030816872</v>
      </c>
      <c r="D2057" t="str">
        <f>"9783030816889"</f>
        <v>9783030816889</v>
      </c>
      <c r="E2057" t="s">
        <v>2905</v>
      </c>
      <c r="F2057" s="1">
        <v>44394</v>
      </c>
      <c r="G2057" t="s">
        <v>8236</v>
      </c>
      <c r="H2057" t="s">
        <v>712</v>
      </c>
      <c r="I2057" t="s">
        <v>4774</v>
      </c>
      <c r="L2057" t="s">
        <v>20</v>
      </c>
      <c r="M2057" t="s">
        <v>8239</v>
      </c>
    </row>
    <row r="2058" spans="1:13" x14ac:dyDescent="0.25">
      <c r="A2058">
        <v>6679369</v>
      </c>
      <c r="B2058" t="s">
        <v>8240</v>
      </c>
      <c r="C2058" t="str">
        <f>"9783030749095"</f>
        <v>9783030749095</v>
      </c>
      <c r="D2058" t="str">
        <f>"9783030749101"</f>
        <v>9783030749101</v>
      </c>
      <c r="E2058" t="s">
        <v>2905</v>
      </c>
      <c r="F2058" s="1">
        <v>44394</v>
      </c>
      <c r="G2058" t="s">
        <v>8241</v>
      </c>
      <c r="H2058" t="s">
        <v>64</v>
      </c>
      <c r="I2058" t="s">
        <v>5294</v>
      </c>
      <c r="L2058" t="s">
        <v>20</v>
      </c>
      <c r="M2058" t="s">
        <v>8242</v>
      </c>
    </row>
    <row r="2059" spans="1:13" x14ac:dyDescent="0.25">
      <c r="A2059">
        <v>6679449</v>
      </c>
      <c r="B2059" t="s">
        <v>8243</v>
      </c>
      <c r="C2059" t="str">
        <f>"9783030707989"</f>
        <v>9783030707989</v>
      </c>
      <c r="D2059" t="str">
        <f>"9783030707996"</f>
        <v>9783030707996</v>
      </c>
      <c r="E2059" t="s">
        <v>2905</v>
      </c>
      <c r="F2059" s="1">
        <v>44395</v>
      </c>
      <c r="G2059" t="s">
        <v>8244</v>
      </c>
      <c r="H2059" t="s">
        <v>1753</v>
      </c>
      <c r="I2059" t="s">
        <v>4569</v>
      </c>
      <c r="L2059" t="s">
        <v>20</v>
      </c>
      <c r="M2059" t="s">
        <v>8245</v>
      </c>
    </row>
    <row r="2060" spans="1:13" x14ac:dyDescent="0.25">
      <c r="A2060">
        <v>6680535</v>
      </c>
      <c r="B2060" t="s">
        <v>8246</v>
      </c>
      <c r="C2060" t="str">
        <f>"9783658328627"</f>
        <v>9783658328627</v>
      </c>
      <c r="D2060" t="str">
        <f>"9783658328634"</f>
        <v>9783658328634</v>
      </c>
      <c r="E2060" t="s">
        <v>4472</v>
      </c>
      <c r="F2060" s="1">
        <v>44397</v>
      </c>
      <c r="G2060" t="s">
        <v>8247</v>
      </c>
      <c r="H2060" t="s">
        <v>363</v>
      </c>
      <c r="I2060" t="s">
        <v>5825</v>
      </c>
      <c r="L2060" t="s">
        <v>291</v>
      </c>
      <c r="M2060" t="s">
        <v>8248</v>
      </c>
    </row>
    <row r="2061" spans="1:13" x14ac:dyDescent="0.25">
      <c r="A2061">
        <v>6680536</v>
      </c>
      <c r="B2061" t="s">
        <v>8249</v>
      </c>
      <c r="C2061" t="str">
        <f>"9783030789343"</f>
        <v>9783030789343</v>
      </c>
      <c r="D2061" t="str">
        <f>"9783030789350"</f>
        <v>9783030789350</v>
      </c>
      <c r="E2061" t="s">
        <v>2905</v>
      </c>
      <c r="F2061" s="1">
        <v>44397</v>
      </c>
      <c r="G2061" t="s">
        <v>8250</v>
      </c>
      <c r="H2061" t="s">
        <v>1753</v>
      </c>
      <c r="I2061" t="s">
        <v>5116</v>
      </c>
      <c r="L2061" t="s">
        <v>20</v>
      </c>
      <c r="M2061" t="s">
        <v>8251</v>
      </c>
    </row>
    <row r="2062" spans="1:13" x14ac:dyDescent="0.25">
      <c r="A2062">
        <v>6680537</v>
      </c>
      <c r="B2062" t="s">
        <v>8252</v>
      </c>
      <c r="C2062" t="str">
        <f>"9783030781569"</f>
        <v>9783030781569</v>
      </c>
      <c r="D2062" t="str">
        <f>"9783030781576"</f>
        <v>9783030781576</v>
      </c>
      <c r="E2062" t="s">
        <v>2905</v>
      </c>
      <c r="F2062" s="1">
        <v>44397</v>
      </c>
      <c r="G2062" t="s">
        <v>8253</v>
      </c>
      <c r="H2062" t="s">
        <v>1753</v>
      </c>
      <c r="I2062" t="s">
        <v>8254</v>
      </c>
      <c r="J2062">
        <v>658.40120000000002</v>
      </c>
      <c r="L2062" t="s">
        <v>20</v>
      </c>
      <c r="M2062" t="s">
        <v>8255</v>
      </c>
    </row>
    <row r="2063" spans="1:13" x14ac:dyDescent="0.25">
      <c r="A2063">
        <v>6681091</v>
      </c>
      <c r="B2063" t="s">
        <v>8256</v>
      </c>
      <c r="C2063" t="str">
        <f>"9783030824266"</f>
        <v>9783030824266</v>
      </c>
      <c r="D2063" t="str">
        <f>"9783030824273"</f>
        <v>9783030824273</v>
      </c>
      <c r="E2063" t="s">
        <v>2905</v>
      </c>
      <c r="F2063" s="1">
        <v>44398</v>
      </c>
      <c r="G2063" t="s">
        <v>8257</v>
      </c>
      <c r="H2063" t="s">
        <v>712</v>
      </c>
      <c r="I2063" t="s">
        <v>4584</v>
      </c>
      <c r="L2063" t="s">
        <v>20</v>
      </c>
      <c r="M2063" t="s">
        <v>8258</v>
      </c>
    </row>
    <row r="2064" spans="1:13" x14ac:dyDescent="0.25">
      <c r="A2064">
        <v>6681092</v>
      </c>
      <c r="B2064" t="s">
        <v>8259</v>
      </c>
      <c r="C2064" t="str">
        <f>"9783658342241"</f>
        <v>9783658342241</v>
      </c>
      <c r="D2064" t="str">
        <f>"9783658342258"</f>
        <v>9783658342258</v>
      </c>
      <c r="E2064" t="s">
        <v>4472</v>
      </c>
      <c r="F2064" s="1">
        <v>44398</v>
      </c>
      <c r="G2064" t="s">
        <v>8260</v>
      </c>
      <c r="H2064" t="s">
        <v>1178</v>
      </c>
      <c r="I2064" t="s">
        <v>8261</v>
      </c>
      <c r="L2064" t="s">
        <v>291</v>
      </c>
      <c r="M2064" t="s">
        <v>8262</v>
      </c>
    </row>
    <row r="2065" spans="1:13" x14ac:dyDescent="0.25">
      <c r="A2065">
        <v>6681093</v>
      </c>
      <c r="B2065" t="s">
        <v>8263</v>
      </c>
      <c r="C2065" t="str">
        <f>"9783030725945"</f>
        <v>9783030725945</v>
      </c>
      <c r="D2065" t="str">
        <f>"9783030725952"</f>
        <v>9783030725952</v>
      </c>
      <c r="E2065" t="s">
        <v>2905</v>
      </c>
      <c r="F2065" s="1">
        <v>44398</v>
      </c>
      <c r="G2065" t="s">
        <v>8264</v>
      </c>
      <c r="H2065" t="s">
        <v>363</v>
      </c>
      <c r="I2065" t="s">
        <v>5825</v>
      </c>
      <c r="L2065" t="s">
        <v>20</v>
      </c>
      <c r="M2065" t="s">
        <v>8265</v>
      </c>
    </row>
    <row r="2066" spans="1:13" x14ac:dyDescent="0.25">
      <c r="A2066">
        <v>6683644</v>
      </c>
      <c r="B2066" t="s">
        <v>8266</v>
      </c>
      <c r="C2066" t="str">
        <f>"9789462989511"</f>
        <v>9789462989511</v>
      </c>
      <c r="D2066" t="str">
        <f>"9789048542079"</f>
        <v>9789048542079</v>
      </c>
      <c r="E2066" t="s">
        <v>4128</v>
      </c>
      <c r="F2066" s="1">
        <v>44278</v>
      </c>
      <c r="G2066" t="s">
        <v>8267</v>
      </c>
      <c r="H2066" t="s">
        <v>8268</v>
      </c>
      <c r="L2066" t="s">
        <v>20</v>
      </c>
      <c r="M2066" t="s">
        <v>8269</v>
      </c>
    </row>
    <row r="2067" spans="1:13" x14ac:dyDescent="0.25">
      <c r="A2067">
        <v>6684530</v>
      </c>
      <c r="B2067" t="s">
        <v>8270</v>
      </c>
      <c r="C2067" t="str">
        <f>"9789811626692"</f>
        <v>9789811626692</v>
      </c>
      <c r="D2067" t="str">
        <f>"9789811626708"</f>
        <v>9789811626708</v>
      </c>
      <c r="E2067" t="s">
        <v>4099</v>
      </c>
      <c r="F2067" s="1">
        <v>44404</v>
      </c>
      <c r="G2067" t="s">
        <v>8271</v>
      </c>
      <c r="H2067" t="s">
        <v>712</v>
      </c>
      <c r="I2067" t="s">
        <v>5426</v>
      </c>
      <c r="L2067" t="s">
        <v>20</v>
      </c>
      <c r="M2067" t="s">
        <v>8272</v>
      </c>
    </row>
    <row r="2068" spans="1:13" x14ac:dyDescent="0.25">
      <c r="A2068">
        <v>6686713</v>
      </c>
      <c r="B2068" t="s">
        <v>8273</v>
      </c>
      <c r="C2068" t="str">
        <f>"9789027209276"</f>
        <v>9789027209276</v>
      </c>
      <c r="D2068" t="str">
        <f>"9789027259585"</f>
        <v>9789027259585</v>
      </c>
      <c r="E2068" t="s">
        <v>1728</v>
      </c>
      <c r="F2068" s="1">
        <v>44456</v>
      </c>
      <c r="G2068" t="s">
        <v>8274</v>
      </c>
      <c r="H2068" t="s">
        <v>851</v>
      </c>
      <c r="I2068" t="s">
        <v>8275</v>
      </c>
      <c r="L2068" t="s">
        <v>20</v>
      </c>
      <c r="M2068" t="s">
        <v>8276</v>
      </c>
    </row>
    <row r="2069" spans="1:13" x14ac:dyDescent="0.25">
      <c r="A2069">
        <v>6687084</v>
      </c>
      <c r="B2069" t="s">
        <v>8277</v>
      </c>
      <c r="C2069" t="str">
        <f>"9783030591397"</f>
        <v>9783030591397</v>
      </c>
      <c r="D2069" t="str">
        <f>"9783030591403"</f>
        <v>9783030591403</v>
      </c>
      <c r="E2069" t="s">
        <v>2905</v>
      </c>
      <c r="F2069" s="1">
        <v>44409</v>
      </c>
      <c r="G2069" t="s">
        <v>8278</v>
      </c>
      <c r="H2069" t="s">
        <v>8279</v>
      </c>
      <c r="I2069" t="s">
        <v>4239</v>
      </c>
      <c r="L2069" t="s">
        <v>20</v>
      </c>
      <c r="M2069" t="s">
        <v>8280</v>
      </c>
    </row>
    <row r="2070" spans="1:13" x14ac:dyDescent="0.25">
      <c r="A2070">
        <v>6689123</v>
      </c>
      <c r="B2070" t="s">
        <v>8281</v>
      </c>
      <c r="C2070" t="str">
        <f>"9781800642737"</f>
        <v>9781800642737</v>
      </c>
      <c r="D2070" t="str">
        <f>"9781800642744"</f>
        <v>9781800642744</v>
      </c>
      <c r="E2070" t="s">
        <v>2270</v>
      </c>
      <c r="F2070" s="1">
        <v>44409</v>
      </c>
      <c r="G2070" t="s">
        <v>8282</v>
      </c>
      <c r="H2070" t="s">
        <v>2603</v>
      </c>
      <c r="I2070" t="s">
        <v>8283</v>
      </c>
      <c r="K2070" t="s">
        <v>8284</v>
      </c>
      <c r="L2070" t="s">
        <v>20</v>
      </c>
      <c r="M2070" t="s">
        <v>8285</v>
      </c>
    </row>
    <row r="2071" spans="1:13" x14ac:dyDescent="0.25">
      <c r="A2071">
        <v>6689124</v>
      </c>
      <c r="B2071" t="s">
        <v>8286</v>
      </c>
      <c r="C2071" t="str">
        <f>"9781800641334"</f>
        <v>9781800641334</v>
      </c>
      <c r="D2071" t="str">
        <f>"9781800641341"</f>
        <v>9781800641341</v>
      </c>
      <c r="E2071" t="s">
        <v>2270</v>
      </c>
      <c r="F2071" s="1">
        <v>44378</v>
      </c>
      <c r="G2071" t="s">
        <v>8287</v>
      </c>
      <c r="H2071" t="s">
        <v>139</v>
      </c>
      <c r="I2071" t="s">
        <v>8288</v>
      </c>
      <c r="K2071" t="s">
        <v>8289</v>
      </c>
      <c r="L2071" t="s">
        <v>20</v>
      </c>
      <c r="M2071" t="s">
        <v>8290</v>
      </c>
    </row>
    <row r="2072" spans="1:13" x14ac:dyDescent="0.25">
      <c r="A2072">
        <v>6689306</v>
      </c>
      <c r="B2072" t="s">
        <v>8291</v>
      </c>
      <c r="C2072" t="str">
        <f>"9781484271841"</f>
        <v>9781484271841</v>
      </c>
      <c r="D2072" t="str">
        <f>"9781484271858"</f>
        <v>9781484271858</v>
      </c>
      <c r="E2072" t="s">
        <v>5036</v>
      </c>
      <c r="F2072" s="1">
        <v>44434</v>
      </c>
      <c r="G2072" t="s">
        <v>8292</v>
      </c>
      <c r="H2072" t="s">
        <v>5430</v>
      </c>
      <c r="I2072" t="s">
        <v>5431</v>
      </c>
      <c r="L2072" t="s">
        <v>20</v>
      </c>
      <c r="M2072" t="s">
        <v>8293</v>
      </c>
    </row>
    <row r="2073" spans="1:13" x14ac:dyDescent="0.25">
      <c r="A2073">
        <v>6689307</v>
      </c>
      <c r="B2073" t="s">
        <v>8294</v>
      </c>
      <c r="C2073" t="str">
        <f>"9783030676070"</f>
        <v>9783030676070</v>
      </c>
      <c r="D2073" t="str">
        <f>"9783030676087"</f>
        <v>9783030676087</v>
      </c>
      <c r="E2073" t="s">
        <v>2905</v>
      </c>
      <c r="F2073" s="1">
        <v>44407</v>
      </c>
      <c r="G2073" t="s">
        <v>8295</v>
      </c>
      <c r="H2073" t="s">
        <v>30</v>
      </c>
      <c r="I2073" t="s">
        <v>4676</v>
      </c>
      <c r="L2073" t="s">
        <v>20</v>
      </c>
      <c r="M2073" t="s">
        <v>8296</v>
      </c>
    </row>
    <row r="2074" spans="1:13" x14ac:dyDescent="0.25">
      <c r="A2074">
        <v>6689308</v>
      </c>
      <c r="B2074" t="s">
        <v>8297</v>
      </c>
      <c r="C2074" t="str">
        <f>"9783030706609"</f>
        <v>9783030706609</v>
      </c>
      <c r="D2074" t="str">
        <f>"9783030706616"</f>
        <v>9783030706616</v>
      </c>
      <c r="E2074" t="s">
        <v>2905</v>
      </c>
      <c r="F2074" s="1">
        <v>44412</v>
      </c>
      <c r="G2074" t="s">
        <v>8298</v>
      </c>
      <c r="H2074" t="s">
        <v>64</v>
      </c>
      <c r="I2074" t="s">
        <v>6157</v>
      </c>
      <c r="J2074">
        <v>364</v>
      </c>
      <c r="L2074" t="s">
        <v>20</v>
      </c>
      <c r="M2074" t="s">
        <v>8299</v>
      </c>
    </row>
    <row r="2075" spans="1:13" x14ac:dyDescent="0.25">
      <c r="A2075">
        <v>6689309</v>
      </c>
      <c r="B2075" t="s">
        <v>8300</v>
      </c>
      <c r="C2075" t="str">
        <f>"9783030764449"</f>
        <v>9783030764449</v>
      </c>
      <c r="D2075" t="str">
        <f>"9783030764456"</f>
        <v>9783030764456</v>
      </c>
      <c r="E2075" t="s">
        <v>2905</v>
      </c>
      <c r="F2075" s="1">
        <v>44412</v>
      </c>
      <c r="G2075" t="s">
        <v>8301</v>
      </c>
      <c r="H2075" t="s">
        <v>8302</v>
      </c>
      <c r="I2075" t="s">
        <v>8303</v>
      </c>
      <c r="J2075">
        <v>4.0190000000000001</v>
      </c>
      <c r="L2075" t="s">
        <v>20</v>
      </c>
      <c r="M2075" t="s">
        <v>8304</v>
      </c>
    </row>
    <row r="2076" spans="1:13" x14ac:dyDescent="0.25">
      <c r="A2076">
        <v>6689310</v>
      </c>
      <c r="B2076" t="s">
        <v>8305</v>
      </c>
      <c r="C2076" t="str">
        <f>"9783658338671"</f>
        <v>9783658338671</v>
      </c>
      <c r="D2076" t="str">
        <f>"9783658338688"</f>
        <v>9783658338688</v>
      </c>
      <c r="E2076" t="s">
        <v>4472</v>
      </c>
      <c r="F2076" s="1">
        <v>44408</v>
      </c>
      <c r="G2076" t="s">
        <v>8306</v>
      </c>
      <c r="H2076" t="s">
        <v>1753</v>
      </c>
      <c r="I2076" t="s">
        <v>8307</v>
      </c>
      <c r="L2076" t="s">
        <v>291</v>
      </c>
      <c r="M2076" t="s">
        <v>8308</v>
      </c>
    </row>
    <row r="2077" spans="1:13" x14ac:dyDescent="0.25">
      <c r="A2077">
        <v>6689311</v>
      </c>
      <c r="B2077" t="s">
        <v>8309</v>
      </c>
      <c r="C2077" t="str">
        <f>"9783030698225"</f>
        <v>9783030698225</v>
      </c>
      <c r="D2077" t="str">
        <f>"9783030698232"</f>
        <v>9783030698232</v>
      </c>
      <c r="E2077" t="s">
        <v>2905</v>
      </c>
      <c r="F2077" s="1">
        <v>44411</v>
      </c>
      <c r="G2077" t="s">
        <v>8310</v>
      </c>
      <c r="H2077" t="s">
        <v>851</v>
      </c>
      <c r="I2077" t="s">
        <v>6542</v>
      </c>
      <c r="L2077" t="s">
        <v>20</v>
      </c>
      <c r="M2077" t="s">
        <v>8311</v>
      </c>
    </row>
    <row r="2078" spans="1:13" x14ac:dyDescent="0.25">
      <c r="A2078">
        <v>6692414</v>
      </c>
      <c r="B2078" t="s">
        <v>8312</v>
      </c>
      <c r="C2078" t="str">
        <f>"9783030774882"</f>
        <v>9783030774882</v>
      </c>
      <c r="D2078" t="str">
        <f>"9783030774899"</f>
        <v>9783030774899</v>
      </c>
      <c r="E2078" t="s">
        <v>2905</v>
      </c>
      <c r="F2078" s="1">
        <v>44414</v>
      </c>
      <c r="G2078" t="s">
        <v>8313</v>
      </c>
      <c r="H2078" t="s">
        <v>1753</v>
      </c>
      <c r="I2078" t="s">
        <v>4753</v>
      </c>
      <c r="L2078" t="s">
        <v>20</v>
      </c>
      <c r="M2078" t="s">
        <v>8314</v>
      </c>
    </row>
    <row r="2079" spans="1:13" x14ac:dyDescent="0.25">
      <c r="A2079">
        <v>6696321</v>
      </c>
      <c r="B2079" t="s">
        <v>8315</v>
      </c>
      <c r="C2079" t="str">
        <f>""</f>
        <v/>
      </c>
      <c r="D2079" t="str">
        <f>"9782759231492"</f>
        <v>9782759231492</v>
      </c>
      <c r="E2079" t="s">
        <v>2434</v>
      </c>
      <c r="F2079" s="1">
        <v>44420</v>
      </c>
      <c r="G2079" t="s">
        <v>8316</v>
      </c>
      <c r="H2079" t="s">
        <v>83</v>
      </c>
      <c r="L2079" t="s">
        <v>1279</v>
      </c>
      <c r="M2079" t="s">
        <v>8317</v>
      </c>
    </row>
    <row r="2080" spans="1:13" x14ac:dyDescent="0.25">
      <c r="A2080">
        <v>6696599</v>
      </c>
      <c r="B2080" t="s">
        <v>8318</v>
      </c>
      <c r="C2080" t="str">
        <f>"9783030730642"</f>
        <v>9783030730642</v>
      </c>
      <c r="D2080" t="str">
        <f>"9783030730659"</f>
        <v>9783030730659</v>
      </c>
      <c r="E2080" t="s">
        <v>2905</v>
      </c>
      <c r="F2080" s="1">
        <v>44419</v>
      </c>
      <c r="G2080" t="s">
        <v>8319</v>
      </c>
      <c r="H2080" t="s">
        <v>489</v>
      </c>
      <c r="I2080" t="s">
        <v>4807</v>
      </c>
      <c r="J2080">
        <v>304.60000000000002</v>
      </c>
      <c r="L2080" t="s">
        <v>20</v>
      </c>
      <c r="M2080" t="s">
        <v>8320</v>
      </c>
    </row>
    <row r="2081" spans="1:13" x14ac:dyDescent="0.25">
      <c r="A2081">
        <v>6696600</v>
      </c>
      <c r="B2081" t="s">
        <v>8321</v>
      </c>
      <c r="C2081" t="str">
        <f>"9783658338879"</f>
        <v>9783658338879</v>
      </c>
      <c r="D2081" t="str">
        <f>"9783658338886"</f>
        <v>9783658338886</v>
      </c>
      <c r="E2081" t="s">
        <v>4472</v>
      </c>
      <c r="F2081" s="1">
        <v>44419</v>
      </c>
      <c r="G2081" t="s">
        <v>8322</v>
      </c>
      <c r="H2081" t="s">
        <v>30</v>
      </c>
      <c r="I2081" t="s">
        <v>8323</v>
      </c>
      <c r="L2081" t="s">
        <v>291</v>
      </c>
      <c r="M2081" t="s">
        <v>8324</v>
      </c>
    </row>
    <row r="2082" spans="1:13" x14ac:dyDescent="0.25">
      <c r="A2082">
        <v>6698484</v>
      </c>
      <c r="B2082" t="s">
        <v>8325</v>
      </c>
      <c r="C2082" t="str">
        <f>"9783030639624"</f>
        <v>9783030639624</v>
      </c>
      <c r="D2082" t="str">
        <f>"9783030639631"</f>
        <v>9783030639631</v>
      </c>
      <c r="E2082" t="s">
        <v>2905</v>
      </c>
      <c r="F2082" s="1">
        <v>44367</v>
      </c>
      <c r="G2082" t="s">
        <v>8326</v>
      </c>
      <c r="H2082" t="s">
        <v>1056</v>
      </c>
      <c r="I2082" t="s">
        <v>4770</v>
      </c>
      <c r="L2082" t="s">
        <v>20</v>
      </c>
      <c r="M2082" t="s">
        <v>8327</v>
      </c>
    </row>
    <row r="2083" spans="1:13" x14ac:dyDescent="0.25">
      <c r="A2083">
        <v>6699255</v>
      </c>
      <c r="B2083" t="s">
        <v>8328</v>
      </c>
      <c r="C2083" t="str">
        <f>"9783030678050"</f>
        <v>9783030678050</v>
      </c>
      <c r="D2083" t="str">
        <f>"9783030678067"</f>
        <v>9783030678067</v>
      </c>
      <c r="E2083" t="s">
        <v>2905</v>
      </c>
      <c r="F2083" s="1">
        <v>44421</v>
      </c>
      <c r="G2083" t="s">
        <v>8329</v>
      </c>
      <c r="H2083" t="s">
        <v>1283</v>
      </c>
      <c r="I2083" t="s">
        <v>5358</v>
      </c>
      <c r="L2083" t="s">
        <v>20</v>
      </c>
      <c r="M2083" t="s">
        <v>8330</v>
      </c>
    </row>
    <row r="2084" spans="1:13" x14ac:dyDescent="0.25">
      <c r="A2084">
        <v>6699256</v>
      </c>
      <c r="B2084" t="s">
        <v>8331</v>
      </c>
      <c r="C2084" t="str">
        <f>"9783030751494"</f>
        <v>9783030751494</v>
      </c>
      <c r="D2084" t="str">
        <f>"9783030751500"</f>
        <v>9783030751500</v>
      </c>
      <c r="E2084" t="s">
        <v>2905</v>
      </c>
      <c r="F2084" s="1">
        <v>44422</v>
      </c>
      <c r="G2084" t="s">
        <v>8332</v>
      </c>
      <c r="H2084" t="s">
        <v>363</v>
      </c>
      <c r="I2084" t="s">
        <v>4507</v>
      </c>
      <c r="L2084" t="s">
        <v>20</v>
      </c>
      <c r="M2084" t="s">
        <v>8333</v>
      </c>
    </row>
    <row r="2085" spans="1:13" x14ac:dyDescent="0.25">
      <c r="A2085">
        <v>6700223</v>
      </c>
      <c r="B2085" t="s">
        <v>8334</v>
      </c>
      <c r="C2085" t="str">
        <f>"9783030710682"</f>
        <v>9783030710682</v>
      </c>
      <c r="D2085" t="str">
        <f>"9783030710699"</f>
        <v>9783030710699</v>
      </c>
      <c r="E2085" t="s">
        <v>2905</v>
      </c>
      <c r="F2085" s="1">
        <v>44422</v>
      </c>
      <c r="G2085" t="s">
        <v>8335</v>
      </c>
      <c r="H2085" t="s">
        <v>1283</v>
      </c>
      <c r="I2085" t="s">
        <v>8336</v>
      </c>
      <c r="L2085" t="s">
        <v>20</v>
      </c>
      <c r="M2085" t="s">
        <v>8337</v>
      </c>
    </row>
    <row r="2086" spans="1:13" x14ac:dyDescent="0.25">
      <c r="A2086">
        <v>6702647</v>
      </c>
      <c r="B2086" t="s">
        <v>8338</v>
      </c>
      <c r="C2086" t="str">
        <f>"9783030452308"</f>
        <v>9783030452308</v>
      </c>
      <c r="D2086" t="str">
        <f>"9783030452315"</f>
        <v>9783030452315</v>
      </c>
      <c r="E2086" t="s">
        <v>2905</v>
      </c>
      <c r="F2086" s="1">
        <v>43939</v>
      </c>
      <c r="G2086" t="s">
        <v>8339</v>
      </c>
      <c r="H2086" t="s">
        <v>1178</v>
      </c>
      <c r="I2086" t="s">
        <v>8340</v>
      </c>
      <c r="L2086" t="s">
        <v>20</v>
      </c>
      <c r="M2086" t="s">
        <v>8341</v>
      </c>
    </row>
    <row r="2087" spans="1:13" x14ac:dyDescent="0.25">
      <c r="A2087">
        <v>6705010</v>
      </c>
      <c r="B2087" t="s">
        <v>8342</v>
      </c>
      <c r="C2087" t="str">
        <f>"9783030735685"</f>
        <v>9783030735685</v>
      </c>
      <c r="D2087" t="str">
        <f>"9783030735692"</f>
        <v>9783030735692</v>
      </c>
      <c r="E2087" t="s">
        <v>2905</v>
      </c>
      <c r="F2087" s="1">
        <v>44424</v>
      </c>
      <c r="G2087" t="s">
        <v>8343</v>
      </c>
      <c r="H2087" t="s">
        <v>5236</v>
      </c>
      <c r="I2087" t="s">
        <v>5814</v>
      </c>
      <c r="L2087" t="s">
        <v>20</v>
      </c>
      <c r="M2087" t="s">
        <v>8344</v>
      </c>
    </row>
    <row r="2088" spans="1:13" x14ac:dyDescent="0.25">
      <c r="A2088">
        <v>6706670</v>
      </c>
      <c r="B2088" t="s">
        <v>8345</v>
      </c>
      <c r="C2088" t="str">
        <f>"9780472054855"</f>
        <v>9780472054855</v>
      </c>
      <c r="D2088" t="str">
        <f>"9780472902415"</f>
        <v>9780472902415</v>
      </c>
      <c r="E2088" t="s">
        <v>6708</v>
      </c>
      <c r="F2088" s="1">
        <v>44377</v>
      </c>
      <c r="G2088" t="s">
        <v>8346</v>
      </c>
      <c r="H2088" t="s">
        <v>8347</v>
      </c>
      <c r="I2088" t="s">
        <v>8348</v>
      </c>
      <c r="J2088">
        <v>372.89</v>
      </c>
      <c r="L2088" t="s">
        <v>20</v>
      </c>
      <c r="M2088" t="s">
        <v>8349</v>
      </c>
    </row>
    <row r="2089" spans="1:13" x14ac:dyDescent="0.25">
      <c r="A2089">
        <v>6706672</v>
      </c>
      <c r="B2089" t="s">
        <v>8350</v>
      </c>
      <c r="C2089" t="str">
        <f>"9780472074792"</f>
        <v>9780472074792</v>
      </c>
      <c r="D2089" t="str">
        <f>"9780472128631"</f>
        <v>9780472128631</v>
      </c>
      <c r="E2089" t="s">
        <v>6708</v>
      </c>
      <c r="F2089" s="1">
        <v>44410</v>
      </c>
      <c r="G2089" t="s">
        <v>8351</v>
      </c>
      <c r="H2089" t="s">
        <v>246</v>
      </c>
      <c r="I2089" t="s">
        <v>8352</v>
      </c>
      <c r="J2089">
        <v>792.07209999999998</v>
      </c>
      <c r="L2089" t="s">
        <v>20</v>
      </c>
      <c r="M2089" t="s">
        <v>8353</v>
      </c>
    </row>
    <row r="2090" spans="1:13" x14ac:dyDescent="0.25">
      <c r="A2090">
        <v>6706674</v>
      </c>
      <c r="B2090" t="s">
        <v>8354</v>
      </c>
      <c r="C2090" t="str">
        <f>"9780472054473"</f>
        <v>9780472054473</v>
      </c>
      <c r="D2090" t="str">
        <f>"9780472901241"</f>
        <v>9780472901241</v>
      </c>
      <c r="E2090" t="s">
        <v>6708</v>
      </c>
      <c r="F2090" s="1">
        <v>44407</v>
      </c>
      <c r="G2090" t="s">
        <v>8355</v>
      </c>
      <c r="H2090" t="s">
        <v>8356</v>
      </c>
      <c r="I2090" t="s">
        <v>8357</v>
      </c>
      <c r="J2090">
        <v>70.579738000000006</v>
      </c>
      <c r="L2090" t="s">
        <v>20</v>
      </c>
      <c r="M2090" t="s">
        <v>8358</v>
      </c>
    </row>
    <row r="2091" spans="1:13" x14ac:dyDescent="0.25">
      <c r="A2091">
        <v>6707454</v>
      </c>
      <c r="B2091" t="s">
        <v>8359</v>
      </c>
      <c r="C2091" t="str">
        <f>"9783030658236"</f>
        <v>9783030658236</v>
      </c>
      <c r="D2091" t="str">
        <f>"9783030658243"</f>
        <v>9783030658243</v>
      </c>
      <c r="E2091" t="s">
        <v>2905</v>
      </c>
      <c r="F2091" s="1">
        <v>44426</v>
      </c>
      <c r="G2091" t="s">
        <v>8360</v>
      </c>
      <c r="H2091" t="s">
        <v>1178</v>
      </c>
      <c r="I2091" t="s">
        <v>8361</v>
      </c>
      <c r="L2091" t="s">
        <v>20</v>
      </c>
      <c r="M2091" t="s">
        <v>8362</v>
      </c>
    </row>
    <row r="2092" spans="1:13" x14ac:dyDescent="0.25">
      <c r="A2092">
        <v>6709073</v>
      </c>
      <c r="B2092" t="s">
        <v>8363</v>
      </c>
      <c r="C2092" t="str">
        <f>"9781137378460"</f>
        <v>9781137378460</v>
      </c>
      <c r="D2092" t="str">
        <f>"9781137378477"</f>
        <v>9781137378477</v>
      </c>
      <c r="E2092" t="s">
        <v>4626</v>
      </c>
      <c r="F2092" s="1">
        <v>41996</v>
      </c>
      <c r="G2092" t="s">
        <v>8364</v>
      </c>
      <c r="H2092" t="s">
        <v>7165</v>
      </c>
      <c r="I2092" t="s">
        <v>8365</v>
      </c>
      <c r="J2092">
        <v>384.54068100000001</v>
      </c>
      <c r="L2092" t="s">
        <v>20</v>
      </c>
      <c r="M2092" t="s">
        <v>8366</v>
      </c>
    </row>
    <row r="2093" spans="1:13" x14ac:dyDescent="0.25">
      <c r="A2093">
        <v>6709812</v>
      </c>
      <c r="B2093" t="s">
        <v>8367</v>
      </c>
      <c r="C2093" t="str">
        <f>"9783658312787"</f>
        <v>9783658312787</v>
      </c>
      <c r="D2093" t="str">
        <f>"9783658312794"</f>
        <v>9783658312794</v>
      </c>
      <c r="E2093" t="s">
        <v>4472</v>
      </c>
      <c r="F2093" s="1">
        <v>44055</v>
      </c>
      <c r="G2093" t="s">
        <v>8368</v>
      </c>
      <c r="H2093" t="s">
        <v>1178</v>
      </c>
      <c r="I2093" t="s">
        <v>4478</v>
      </c>
      <c r="L2093" t="s">
        <v>291</v>
      </c>
      <c r="M2093" t="s">
        <v>8369</v>
      </c>
    </row>
    <row r="2094" spans="1:13" x14ac:dyDescent="0.25">
      <c r="A2094">
        <v>6709813</v>
      </c>
      <c r="B2094" t="s">
        <v>8370</v>
      </c>
      <c r="C2094" t="str">
        <f>"9789811543265"</f>
        <v>9789811543265</v>
      </c>
      <c r="D2094" t="str">
        <f>"9789811543272"</f>
        <v>9789811543272</v>
      </c>
      <c r="E2094" t="s">
        <v>4099</v>
      </c>
      <c r="F2094" s="1">
        <v>43995</v>
      </c>
      <c r="G2094" t="s">
        <v>8371</v>
      </c>
      <c r="H2094" t="s">
        <v>2528</v>
      </c>
      <c r="I2094" t="s">
        <v>5298</v>
      </c>
      <c r="L2094" t="s">
        <v>20</v>
      </c>
      <c r="M2094" t="s">
        <v>8372</v>
      </c>
    </row>
    <row r="2095" spans="1:13" x14ac:dyDescent="0.25">
      <c r="A2095">
        <v>6709814</v>
      </c>
      <c r="B2095" t="s">
        <v>8373</v>
      </c>
      <c r="C2095" t="str">
        <f>"9789811628603"</f>
        <v>9789811628603</v>
      </c>
      <c r="D2095" t="str">
        <f>"9789811628610"</f>
        <v>9789811628610</v>
      </c>
      <c r="E2095" t="s">
        <v>4099</v>
      </c>
      <c r="F2095" s="1">
        <v>44427</v>
      </c>
      <c r="G2095" t="s">
        <v>8374</v>
      </c>
      <c r="H2095" t="s">
        <v>41</v>
      </c>
      <c r="I2095" t="s">
        <v>8375</v>
      </c>
      <c r="J2095">
        <v>331.39800000000002</v>
      </c>
      <c r="L2095" t="s">
        <v>20</v>
      </c>
      <c r="M2095" t="s">
        <v>8376</v>
      </c>
    </row>
    <row r="2096" spans="1:13" x14ac:dyDescent="0.25">
      <c r="A2096">
        <v>6709815</v>
      </c>
      <c r="B2096" t="s">
        <v>8377</v>
      </c>
      <c r="C2096" t="str">
        <f>"9783658354787"</f>
        <v>9783658354787</v>
      </c>
      <c r="D2096" t="str">
        <f>"9783658354794"</f>
        <v>9783658354794</v>
      </c>
      <c r="E2096" t="s">
        <v>4472</v>
      </c>
      <c r="F2096" s="1">
        <v>44428</v>
      </c>
      <c r="G2096" t="s">
        <v>8378</v>
      </c>
      <c r="H2096" t="s">
        <v>1753</v>
      </c>
      <c r="I2096" t="s">
        <v>8379</v>
      </c>
      <c r="L2096" t="s">
        <v>291</v>
      </c>
      <c r="M2096" t="s">
        <v>8380</v>
      </c>
    </row>
    <row r="2097" spans="1:13" x14ac:dyDescent="0.25">
      <c r="A2097">
        <v>6709816</v>
      </c>
      <c r="B2097" t="s">
        <v>8381</v>
      </c>
      <c r="C2097" t="str">
        <f>"9783658347659"</f>
        <v>9783658347659</v>
      </c>
      <c r="D2097" t="str">
        <f>"9783658347666"</f>
        <v>9783658347666</v>
      </c>
      <c r="E2097" t="s">
        <v>4472</v>
      </c>
      <c r="F2097" s="1">
        <v>44428</v>
      </c>
      <c r="G2097" t="s">
        <v>8382</v>
      </c>
      <c r="H2097" t="s">
        <v>246</v>
      </c>
      <c r="I2097" t="s">
        <v>8383</v>
      </c>
      <c r="L2097" t="s">
        <v>291</v>
      </c>
      <c r="M2097" t="s">
        <v>8384</v>
      </c>
    </row>
    <row r="2098" spans="1:13" x14ac:dyDescent="0.25">
      <c r="A2098">
        <v>6710764</v>
      </c>
      <c r="B2098" t="s">
        <v>8385</v>
      </c>
      <c r="C2098" t="str">
        <f>"9783030768812"</f>
        <v>9783030768812</v>
      </c>
      <c r="D2098" t="str">
        <f>"9783030768829"</f>
        <v>9783030768829</v>
      </c>
      <c r="E2098" t="s">
        <v>2905</v>
      </c>
      <c r="F2098" s="1">
        <v>44429</v>
      </c>
      <c r="G2098" t="s">
        <v>8386</v>
      </c>
      <c r="H2098" t="s">
        <v>1753</v>
      </c>
      <c r="I2098" t="s">
        <v>6372</v>
      </c>
      <c r="L2098" t="s">
        <v>20</v>
      </c>
      <c r="M2098" t="s">
        <v>8387</v>
      </c>
    </row>
    <row r="2099" spans="1:13" x14ac:dyDescent="0.25">
      <c r="A2099">
        <v>6710765</v>
      </c>
      <c r="B2099" t="s">
        <v>8388</v>
      </c>
      <c r="C2099" t="str">
        <f>"9783658348502"</f>
        <v>9783658348502</v>
      </c>
      <c r="D2099" t="str">
        <f>"9783658348519"</f>
        <v>9783658348519</v>
      </c>
      <c r="E2099" t="s">
        <v>4472</v>
      </c>
      <c r="F2099" s="1">
        <v>44430</v>
      </c>
      <c r="G2099" t="s">
        <v>8389</v>
      </c>
      <c r="H2099" t="s">
        <v>30</v>
      </c>
      <c r="I2099" t="s">
        <v>8213</v>
      </c>
      <c r="L2099" t="s">
        <v>291</v>
      </c>
      <c r="M2099" t="s">
        <v>8390</v>
      </c>
    </row>
    <row r="2100" spans="1:13" x14ac:dyDescent="0.25">
      <c r="A2100">
        <v>6713236</v>
      </c>
      <c r="B2100" t="s">
        <v>8391</v>
      </c>
      <c r="C2100" t="str">
        <f>"9783030748166"</f>
        <v>9783030748166</v>
      </c>
      <c r="D2100" t="str">
        <f>"9783030748173"</f>
        <v>9783030748173</v>
      </c>
      <c r="E2100" t="s">
        <v>2905</v>
      </c>
      <c r="F2100" s="1">
        <v>44434</v>
      </c>
      <c r="G2100" t="s">
        <v>8392</v>
      </c>
      <c r="H2100" t="s">
        <v>1753</v>
      </c>
      <c r="I2100" t="s">
        <v>8393</v>
      </c>
      <c r="L2100" t="s">
        <v>20</v>
      </c>
      <c r="M2100" t="s">
        <v>8394</v>
      </c>
    </row>
    <row r="2101" spans="1:13" x14ac:dyDescent="0.25">
      <c r="A2101">
        <v>6714071</v>
      </c>
      <c r="B2101" t="s">
        <v>8395</v>
      </c>
      <c r="C2101" t="str">
        <f>"9781800642133"</f>
        <v>9781800642133</v>
      </c>
      <c r="D2101" t="str">
        <f>"9781800642140"</f>
        <v>9781800642140</v>
      </c>
      <c r="E2101" t="s">
        <v>2270</v>
      </c>
      <c r="F2101" s="1">
        <v>44416</v>
      </c>
      <c r="G2101" t="s">
        <v>3098</v>
      </c>
      <c r="H2101" t="s">
        <v>70</v>
      </c>
      <c r="I2101" t="s">
        <v>8396</v>
      </c>
      <c r="J2101">
        <v>830.9</v>
      </c>
      <c r="K2101" t="s">
        <v>8397</v>
      </c>
      <c r="L2101" t="s">
        <v>20</v>
      </c>
      <c r="M2101" t="s">
        <v>8398</v>
      </c>
    </row>
    <row r="2102" spans="1:13" x14ac:dyDescent="0.25">
      <c r="A2102">
        <v>6714634</v>
      </c>
      <c r="B2102" t="s">
        <v>8399</v>
      </c>
      <c r="C2102" t="str">
        <f>"9783658345686"</f>
        <v>9783658345686</v>
      </c>
      <c r="D2102" t="str">
        <f>"9783658345693"</f>
        <v>9783658345693</v>
      </c>
      <c r="E2102" t="s">
        <v>4472</v>
      </c>
      <c r="F2102" s="1">
        <v>44437</v>
      </c>
      <c r="G2102" t="s">
        <v>8400</v>
      </c>
      <c r="H2102" t="s">
        <v>1753</v>
      </c>
      <c r="I2102" t="s">
        <v>6039</v>
      </c>
      <c r="L2102" t="s">
        <v>20</v>
      </c>
      <c r="M2102" t="s">
        <v>8401</v>
      </c>
    </row>
    <row r="2103" spans="1:13" x14ac:dyDescent="0.25">
      <c r="A2103">
        <v>6715041</v>
      </c>
      <c r="B2103" t="s">
        <v>8402</v>
      </c>
      <c r="C2103" t="str">
        <f>""</f>
        <v/>
      </c>
      <c r="D2103" t="str">
        <f>"9782759232918"</f>
        <v>9782759232918</v>
      </c>
      <c r="E2103" t="s">
        <v>2434</v>
      </c>
      <c r="F2103" s="1">
        <v>44385</v>
      </c>
      <c r="G2103" t="s">
        <v>8403</v>
      </c>
      <c r="H2103" t="s">
        <v>8404</v>
      </c>
      <c r="L2103" t="s">
        <v>1279</v>
      </c>
      <c r="M2103" t="s">
        <v>8405</v>
      </c>
    </row>
    <row r="2104" spans="1:13" x14ac:dyDescent="0.25">
      <c r="A2104">
        <v>6715042</v>
      </c>
      <c r="B2104" t="s">
        <v>8406</v>
      </c>
      <c r="C2104" t="str">
        <f>""</f>
        <v/>
      </c>
      <c r="D2104" t="str">
        <f>"9782759233274"</f>
        <v>9782759233274</v>
      </c>
      <c r="E2104" t="s">
        <v>2434</v>
      </c>
      <c r="F2104" s="1">
        <v>44357</v>
      </c>
      <c r="G2104" t="s">
        <v>8407</v>
      </c>
      <c r="H2104" t="s">
        <v>3491</v>
      </c>
      <c r="L2104" t="s">
        <v>1279</v>
      </c>
      <c r="M2104" t="s">
        <v>8408</v>
      </c>
    </row>
    <row r="2105" spans="1:13" x14ac:dyDescent="0.25">
      <c r="A2105">
        <v>6716612</v>
      </c>
      <c r="B2105" t="s">
        <v>8409</v>
      </c>
      <c r="C2105" t="str">
        <f>""</f>
        <v/>
      </c>
      <c r="D2105" t="str">
        <f>"9782759233823"</f>
        <v>9782759233823</v>
      </c>
      <c r="E2105" t="s">
        <v>2434</v>
      </c>
      <c r="F2105" s="1">
        <v>44440</v>
      </c>
      <c r="G2105" t="s">
        <v>8410</v>
      </c>
      <c r="H2105" t="s">
        <v>1283</v>
      </c>
      <c r="L2105" t="s">
        <v>20</v>
      </c>
      <c r="M2105" t="s">
        <v>8411</v>
      </c>
    </row>
    <row r="2106" spans="1:13" x14ac:dyDescent="0.25">
      <c r="A2106">
        <v>6716674</v>
      </c>
      <c r="B2106" t="s">
        <v>8412</v>
      </c>
      <c r="C2106" t="str">
        <f>"9783030694401"</f>
        <v>9783030694401</v>
      </c>
      <c r="D2106" t="str">
        <f>"9783030694418"</f>
        <v>9783030694418</v>
      </c>
      <c r="E2106" t="s">
        <v>2905</v>
      </c>
      <c r="F2106" s="1">
        <v>44440</v>
      </c>
      <c r="G2106" t="s">
        <v>8413</v>
      </c>
      <c r="H2106" t="s">
        <v>30</v>
      </c>
      <c r="I2106" t="s">
        <v>4676</v>
      </c>
      <c r="L2106" t="s">
        <v>20</v>
      </c>
      <c r="M2106" t="s">
        <v>8414</v>
      </c>
    </row>
    <row r="2107" spans="1:13" x14ac:dyDescent="0.25">
      <c r="A2107">
        <v>6716675</v>
      </c>
      <c r="B2107" t="s">
        <v>8415</v>
      </c>
      <c r="C2107" t="str">
        <f>"9783030757458"</f>
        <v>9783030757458</v>
      </c>
      <c r="D2107" t="str">
        <f>"9783030757465"</f>
        <v>9783030757465</v>
      </c>
      <c r="E2107" t="s">
        <v>2905</v>
      </c>
      <c r="F2107" s="1">
        <v>44440</v>
      </c>
      <c r="G2107" t="s">
        <v>8416</v>
      </c>
      <c r="H2107" t="s">
        <v>363</v>
      </c>
      <c r="I2107" t="s">
        <v>4486</v>
      </c>
      <c r="L2107" t="s">
        <v>20</v>
      </c>
      <c r="M2107" t="s">
        <v>8417</v>
      </c>
    </row>
    <row r="2108" spans="1:13" x14ac:dyDescent="0.25">
      <c r="A2108">
        <v>6716676</v>
      </c>
      <c r="B2108" t="s">
        <v>8418</v>
      </c>
      <c r="C2108" t="str">
        <f>"9783658351441"</f>
        <v>9783658351441</v>
      </c>
      <c r="D2108" t="str">
        <f>"9783658351458"</f>
        <v>9783658351458</v>
      </c>
      <c r="E2108" t="s">
        <v>4472</v>
      </c>
      <c r="F2108" s="1">
        <v>44440</v>
      </c>
      <c r="G2108" t="s">
        <v>8419</v>
      </c>
      <c r="H2108" t="s">
        <v>1753</v>
      </c>
      <c r="I2108" t="s">
        <v>5116</v>
      </c>
      <c r="L2108" t="s">
        <v>291</v>
      </c>
      <c r="M2108" t="s">
        <v>8420</v>
      </c>
    </row>
    <row r="2109" spans="1:13" x14ac:dyDescent="0.25">
      <c r="A2109">
        <v>6716677</v>
      </c>
      <c r="B2109" t="s">
        <v>8421</v>
      </c>
      <c r="C2109" t="str">
        <f>"9783658331030"</f>
        <v>9783658331030</v>
      </c>
      <c r="D2109" t="str">
        <f>"9783658331047"</f>
        <v>9783658331047</v>
      </c>
      <c r="E2109" t="s">
        <v>4472</v>
      </c>
      <c r="F2109" s="1">
        <v>44440</v>
      </c>
      <c r="G2109" t="s">
        <v>8422</v>
      </c>
      <c r="H2109" t="s">
        <v>64</v>
      </c>
      <c r="I2109" t="s">
        <v>8423</v>
      </c>
      <c r="L2109" t="s">
        <v>291</v>
      </c>
      <c r="M2109" t="s">
        <v>8424</v>
      </c>
    </row>
    <row r="2110" spans="1:13" x14ac:dyDescent="0.25">
      <c r="A2110">
        <v>6717895</v>
      </c>
      <c r="B2110" t="s">
        <v>8425</v>
      </c>
      <c r="C2110" t="str">
        <f>"9783030787233"</f>
        <v>9783030787233</v>
      </c>
      <c r="D2110" t="str">
        <f>"9783030787240"</f>
        <v>9783030787240</v>
      </c>
      <c r="E2110" t="s">
        <v>2905</v>
      </c>
      <c r="F2110" s="1">
        <v>44441</v>
      </c>
      <c r="G2110" t="s">
        <v>8426</v>
      </c>
      <c r="H2110" t="s">
        <v>7024</v>
      </c>
      <c r="I2110" t="s">
        <v>4661</v>
      </c>
      <c r="J2110">
        <v>1.0285</v>
      </c>
      <c r="L2110" t="s">
        <v>20</v>
      </c>
      <c r="M2110" t="s">
        <v>8427</v>
      </c>
    </row>
    <row r="2111" spans="1:13" x14ac:dyDescent="0.25">
      <c r="A2111">
        <v>6717896</v>
      </c>
      <c r="B2111" t="s">
        <v>8428</v>
      </c>
      <c r="C2111" t="str">
        <f>"9783030672447"</f>
        <v>9783030672447</v>
      </c>
      <c r="D2111" t="str">
        <f>"9783030672454"</f>
        <v>9783030672454</v>
      </c>
      <c r="E2111" t="s">
        <v>2905</v>
      </c>
      <c r="F2111" s="1">
        <v>44441</v>
      </c>
      <c r="G2111" t="s">
        <v>8429</v>
      </c>
      <c r="H2111" t="s">
        <v>363</v>
      </c>
      <c r="I2111" t="s">
        <v>4529</v>
      </c>
      <c r="L2111" t="s">
        <v>20</v>
      </c>
      <c r="M2111" t="s">
        <v>8430</v>
      </c>
    </row>
    <row r="2112" spans="1:13" x14ac:dyDescent="0.25">
      <c r="A2112">
        <v>6719370</v>
      </c>
      <c r="B2112" t="s">
        <v>8431</v>
      </c>
      <c r="C2112" t="str">
        <f>"9783030796747"</f>
        <v>9783030796747</v>
      </c>
      <c r="D2112" t="str">
        <f>"9783030796754"</f>
        <v>9783030796754</v>
      </c>
      <c r="E2112" t="s">
        <v>2905</v>
      </c>
      <c r="F2112" s="1">
        <v>44442</v>
      </c>
      <c r="G2112" t="s">
        <v>8432</v>
      </c>
      <c r="H2112" t="s">
        <v>1586</v>
      </c>
      <c r="I2112" t="s">
        <v>8433</v>
      </c>
      <c r="J2112">
        <v>150.1</v>
      </c>
      <c r="L2112" t="s">
        <v>20</v>
      </c>
      <c r="M2112" t="s">
        <v>8434</v>
      </c>
    </row>
    <row r="2113" spans="1:13" x14ac:dyDescent="0.25">
      <c r="A2113">
        <v>6719986</v>
      </c>
      <c r="B2113" t="s">
        <v>8435</v>
      </c>
      <c r="C2113" t="str">
        <f>"9783030805104"</f>
        <v>9783030805104</v>
      </c>
      <c r="D2113" t="str">
        <f>"9783030805111"</f>
        <v>9783030805111</v>
      </c>
      <c r="E2113" t="s">
        <v>2905</v>
      </c>
      <c r="F2113" s="1">
        <v>44443</v>
      </c>
      <c r="G2113" t="s">
        <v>8436</v>
      </c>
      <c r="H2113" t="s">
        <v>1753</v>
      </c>
      <c r="I2113" t="s">
        <v>8437</v>
      </c>
      <c r="L2113" t="s">
        <v>20</v>
      </c>
      <c r="M2113" t="s">
        <v>8438</v>
      </c>
    </row>
    <row r="2114" spans="1:13" x14ac:dyDescent="0.25">
      <c r="A2114">
        <v>6720434</v>
      </c>
      <c r="B2114" t="s">
        <v>8439</v>
      </c>
      <c r="C2114" t="str">
        <f>"9789811651373"</f>
        <v>9789811651373</v>
      </c>
      <c r="D2114" t="str">
        <f>"9789811651380"</f>
        <v>9789811651380</v>
      </c>
      <c r="E2114" t="s">
        <v>4099</v>
      </c>
      <c r="F2114" s="1">
        <v>44444</v>
      </c>
      <c r="G2114" t="s">
        <v>8440</v>
      </c>
      <c r="H2114" t="s">
        <v>1753</v>
      </c>
      <c r="I2114" t="s">
        <v>8441</v>
      </c>
      <c r="L2114" t="s">
        <v>20</v>
      </c>
      <c r="M2114" t="s">
        <v>8442</v>
      </c>
    </row>
    <row r="2115" spans="1:13" x14ac:dyDescent="0.25">
      <c r="A2115">
        <v>6722061</v>
      </c>
      <c r="B2115" t="s">
        <v>8443</v>
      </c>
      <c r="C2115" t="str">
        <f>"9783030756444"</f>
        <v>9783030756444</v>
      </c>
      <c r="D2115" t="str">
        <f>"9783030756451"</f>
        <v>9783030756451</v>
      </c>
      <c r="E2115" t="s">
        <v>2905</v>
      </c>
      <c r="F2115" s="1">
        <v>44447</v>
      </c>
      <c r="G2115" t="s">
        <v>8444</v>
      </c>
      <c r="H2115" t="s">
        <v>1753</v>
      </c>
      <c r="I2115" t="s">
        <v>6435</v>
      </c>
      <c r="L2115" t="s">
        <v>20</v>
      </c>
      <c r="M2115" t="s">
        <v>8445</v>
      </c>
    </row>
    <row r="2116" spans="1:13" x14ac:dyDescent="0.25">
      <c r="A2116">
        <v>6722062</v>
      </c>
      <c r="B2116" t="s">
        <v>8446</v>
      </c>
      <c r="C2116" t="str">
        <f>"9789402420852"</f>
        <v>9789402420852</v>
      </c>
      <c r="D2116" t="str">
        <f>"9789402420869"</f>
        <v>9789402420869</v>
      </c>
      <c r="E2116" t="s">
        <v>4612</v>
      </c>
      <c r="F2116" s="1">
        <v>44447</v>
      </c>
      <c r="G2116" t="s">
        <v>8447</v>
      </c>
      <c r="H2116" t="s">
        <v>8448</v>
      </c>
      <c r="I2116" t="s">
        <v>6095</v>
      </c>
      <c r="J2116">
        <v>358.38</v>
      </c>
      <c r="L2116" t="s">
        <v>20</v>
      </c>
      <c r="M2116" t="s">
        <v>8449</v>
      </c>
    </row>
    <row r="2117" spans="1:13" x14ac:dyDescent="0.25">
      <c r="A2117">
        <v>6724812</v>
      </c>
      <c r="B2117" t="s">
        <v>8450</v>
      </c>
      <c r="C2117" t="str">
        <f>"9783030744939"</f>
        <v>9783030744939</v>
      </c>
      <c r="D2117" t="str">
        <f>"9783030744946"</f>
        <v>9783030744946</v>
      </c>
      <c r="E2117" t="s">
        <v>2905</v>
      </c>
      <c r="F2117" s="1">
        <v>44449</v>
      </c>
      <c r="G2117" t="s">
        <v>8451</v>
      </c>
      <c r="H2117" t="s">
        <v>64</v>
      </c>
      <c r="I2117" t="s">
        <v>8423</v>
      </c>
      <c r="L2117" t="s">
        <v>20</v>
      </c>
      <c r="M2117" t="s">
        <v>8452</v>
      </c>
    </row>
    <row r="2118" spans="1:13" x14ac:dyDescent="0.25">
      <c r="A2118">
        <v>6724813</v>
      </c>
      <c r="B2118" t="s">
        <v>8453</v>
      </c>
      <c r="C2118" t="str">
        <f>"9783658350697"</f>
        <v>9783658350697</v>
      </c>
      <c r="D2118" t="str">
        <f>"9783658350703"</f>
        <v>9783658350703</v>
      </c>
      <c r="E2118" t="s">
        <v>4472</v>
      </c>
      <c r="F2118" s="1">
        <v>44449</v>
      </c>
      <c r="G2118" t="s">
        <v>8454</v>
      </c>
      <c r="H2118" t="s">
        <v>363</v>
      </c>
      <c r="I2118" t="s">
        <v>8455</v>
      </c>
      <c r="L2118" t="s">
        <v>291</v>
      </c>
      <c r="M2118" t="s">
        <v>8456</v>
      </c>
    </row>
    <row r="2119" spans="1:13" x14ac:dyDescent="0.25">
      <c r="A2119">
        <v>6724954</v>
      </c>
      <c r="B2119" t="s">
        <v>8457</v>
      </c>
      <c r="C2119" t="str">
        <f>"9781978817920"</f>
        <v>9781978817920</v>
      </c>
      <c r="D2119" t="str">
        <f>"9781978817951"</f>
        <v>9781978817951</v>
      </c>
      <c r="E2119" t="s">
        <v>264</v>
      </c>
      <c r="F2119" s="1">
        <v>44484</v>
      </c>
      <c r="G2119" t="s">
        <v>8458</v>
      </c>
      <c r="H2119" t="s">
        <v>2597</v>
      </c>
      <c r="I2119" t="s">
        <v>4313</v>
      </c>
      <c r="J2119" t="s">
        <v>8459</v>
      </c>
      <c r="L2119" t="s">
        <v>20</v>
      </c>
      <c r="M2119" t="s">
        <v>8460</v>
      </c>
    </row>
    <row r="2120" spans="1:13" x14ac:dyDescent="0.25">
      <c r="A2120">
        <v>6725017</v>
      </c>
      <c r="B2120" t="s">
        <v>8461</v>
      </c>
      <c r="C2120" t="str">
        <f>"9780472038497"</f>
        <v>9780472038497</v>
      </c>
      <c r="D2120" t="str">
        <f>"9780472902477"</f>
        <v>9780472902477</v>
      </c>
      <c r="E2120" t="s">
        <v>6708</v>
      </c>
      <c r="F2120" s="1">
        <v>44499</v>
      </c>
      <c r="G2120" t="s">
        <v>8462</v>
      </c>
      <c r="H2120" t="s">
        <v>64</v>
      </c>
      <c r="I2120" t="s">
        <v>8463</v>
      </c>
      <c r="J2120">
        <v>305.90800000000002</v>
      </c>
      <c r="L2120" t="s">
        <v>20</v>
      </c>
      <c r="M2120" t="s">
        <v>8464</v>
      </c>
    </row>
    <row r="2121" spans="1:13" x14ac:dyDescent="0.25">
      <c r="A2121">
        <v>6725018</v>
      </c>
      <c r="B2121" t="s">
        <v>8465</v>
      </c>
      <c r="C2121" t="str">
        <f>"9783030806576"</f>
        <v>9783030806576</v>
      </c>
      <c r="D2121" t="str">
        <f>"9783030806583"</f>
        <v>9783030806583</v>
      </c>
      <c r="E2121" t="s">
        <v>2905</v>
      </c>
      <c r="F2121" s="1">
        <v>44450</v>
      </c>
      <c r="G2121" t="s">
        <v>8466</v>
      </c>
      <c r="H2121" t="s">
        <v>363</v>
      </c>
      <c r="I2121" t="s">
        <v>8467</v>
      </c>
      <c r="L2121" t="s">
        <v>20</v>
      </c>
      <c r="M2121" t="s">
        <v>8468</v>
      </c>
    </row>
    <row r="2122" spans="1:13" x14ac:dyDescent="0.25">
      <c r="A2122">
        <v>6725019</v>
      </c>
      <c r="B2122" t="s">
        <v>8469</v>
      </c>
      <c r="C2122" t="str">
        <f>"9783030638917"</f>
        <v>9783030638917</v>
      </c>
      <c r="D2122" t="str">
        <f>"9783030638924"</f>
        <v>9783030638924</v>
      </c>
      <c r="E2122" t="s">
        <v>2905</v>
      </c>
      <c r="F2122" s="1">
        <v>44450</v>
      </c>
      <c r="G2122" t="s">
        <v>8470</v>
      </c>
      <c r="H2122" t="s">
        <v>5792</v>
      </c>
      <c r="I2122" t="s">
        <v>8471</v>
      </c>
      <c r="L2122" t="s">
        <v>20</v>
      </c>
      <c r="M2122" t="s">
        <v>8472</v>
      </c>
    </row>
    <row r="2123" spans="1:13" x14ac:dyDescent="0.25">
      <c r="A2123">
        <v>6725199</v>
      </c>
      <c r="B2123" t="s">
        <v>8473</v>
      </c>
      <c r="C2123" t="str">
        <f>"9789811645778"</f>
        <v>9789811645778</v>
      </c>
      <c r="D2123" t="str">
        <f>"9789811645785"</f>
        <v>9789811645785</v>
      </c>
      <c r="E2123" t="s">
        <v>4099</v>
      </c>
      <c r="F2123" s="1">
        <v>44451</v>
      </c>
      <c r="G2123" t="s">
        <v>8474</v>
      </c>
      <c r="H2123" t="s">
        <v>1624</v>
      </c>
      <c r="I2123" t="s">
        <v>8475</v>
      </c>
      <c r="L2123" t="s">
        <v>20</v>
      </c>
      <c r="M2123" t="s">
        <v>8476</v>
      </c>
    </row>
    <row r="2124" spans="1:13" x14ac:dyDescent="0.25">
      <c r="A2124">
        <v>6726326</v>
      </c>
      <c r="B2124" t="s">
        <v>8477</v>
      </c>
      <c r="C2124" t="str">
        <f>"9781783749423"</f>
        <v>9781783749423</v>
      </c>
      <c r="D2124" t="str">
        <f>"9781783749430"</f>
        <v>9781783749430</v>
      </c>
      <c r="E2124" t="s">
        <v>2270</v>
      </c>
      <c r="F2124" s="1">
        <v>44416</v>
      </c>
      <c r="G2124" t="s">
        <v>8478</v>
      </c>
      <c r="H2124" t="s">
        <v>70</v>
      </c>
      <c r="I2124" t="s">
        <v>8479</v>
      </c>
      <c r="K2124" t="s">
        <v>8480</v>
      </c>
      <c r="L2124" t="s">
        <v>20</v>
      </c>
      <c r="M2124" t="s">
        <v>8481</v>
      </c>
    </row>
    <row r="2125" spans="1:13" x14ac:dyDescent="0.25">
      <c r="A2125">
        <v>6726436</v>
      </c>
      <c r="B2125" t="s">
        <v>8482</v>
      </c>
      <c r="C2125" t="str">
        <f>"9783658353827"</f>
        <v>9783658353827</v>
      </c>
      <c r="D2125" t="str">
        <f>"9783658353834"</f>
        <v>9783658353834</v>
      </c>
      <c r="E2125" t="s">
        <v>4472</v>
      </c>
      <c r="F2125" s="1">
        <v>44453</v>
      </c>
      <c r="G2125" t="s">
        <v>8483</v>
      </c>
      <c r="H2125" t="s">
        <v>363</v>
      </c>
      <c r="I2125" t="s">
        <v>8484</v>
      </c>
      <c r="L2125" t="s">
        <v>291</v>
      </c>
      <c r="M2125" t="s">
        <v>8485</v>
      </c>
    </row>
    <row r="2126" spans="1:13" x14ac:dyDescent="0.25">
      <c r="A2126">
        <v>6727208</v>
      </c>
      <c r="B2126" t="s">
        <v>8486</v>
      </c>
      <c r="C2126" t="str">
        <f>"9783030814991"</f>
        <v>9783030814991</v>
      </c>
      <c r="D2126" t="str">
        <f>"9783030815004"</f>
        <v>9783030815004</v>
      </c>
      <c r="E2126" t="s">
        <v>2905</v>
      </c>
      <c r="F2126" s="1">
        <v>44454</v>
      </c>
      <c r="G2126" t="s">
        <v>5053</v>
      </c>
      <c r="H2126" t="s">
        <v>363</v>
      </c>
      <c r="I2126" t="s">
        <v>4486</v>
      </c>
      <c r="L2126" t="s">
        <v>20</v>
      </c>
      <c r="M2126" t="s">
        <v>8487</v>
      </c>
    </row>
    <row r="2127" spans="1:13" x14ac:dyDescent="0.25">
      <c r="A2127">
        <v>6729462</v>
      </c>
      <c r="B2127" t="s">
        <v>8488</v>
      </c>
      <c r="C2127" t="str">
        <f>"9783030787325"</f>
        <v>9783030787325</v>
      </c>
      <c r="D2127" t="str">
        <f>"9783030787332"</f>
        <v>9783030787332</v>
      </c>
      <c r="E2127" t="s">
        <v>2905</v>
      </c>
      <c r="F2127" s="1">
        <v>44456</v>
      </c>
      <c r="G2127" t="s">
        <v>8489</v>
      </c>
      <c r="H2127" t="s">
        <v>1753</v>
      </c>
      <c r="I2127" t="s">
        <v>4899</v>
      </c>
      <c r="L2127" t="s">
        <v>20</v>
      </c>
      <c r="M2127" t="s">
        <v>8490</v>
      </c>
    </row>
    <row r="2128" spans="1:13" x14ac:dyDescent="0.25">
      <c r="A2128">
        <v>6729463</v>
      </c>
      <c r="B2128" t="s">
        <v>8491</v>
      </c>
      <c r="C2128" t="str">
        <f>"9783662625613"</f>
        <v>9783662625613</v>
      </c>
      <c r="D2128" t="str">
        <f>"9783662625620"</f>
        <v>9783662625620</v>
      </c>
      <c r="E2128" t="s">
        <v>5860</v>
      </c>
      <c r="F2128" s="1">
        <v>44456</v>
      </c>
      <c r="G2128" t="s">
        <v>8492</v>
      </c>
      <c r="H2128" t="s">
        <v>64</v>
      </c>
      <c r="I2128" t="s">
        <v>5286</v>
      </c>
      <c r="L2128" t="s">
        <v>291</v>
      </c>
      <c r="M2128" t="s">
        <v>8493</v>
      </c>
    </row>
    <row r="2129" spans="1:13" x14ac:dyDescent="0.25">
      <c r="A2129">
        <v>6730700</v>
      </c>
      <c r="B2129" t="s">
        <v>8494</v>
      </c>
      <c r="C2129" t="str">
        <f>"9783658351205"</f>
        <v>9783658351205</v>
      </c>
      <c r="D2129" t="str">
        <f>"9783658351212"</f>
        <v>9783658351212</v>
      </c>
      <c r="E2129" t="s">
        <v>4472</v>
      </c>
      <c r="F2129" s="1">
        <v>44460</v>
      </c>
      <c r="G2129" t="s">
        <v>8495</v>
      </c>
      <c r="H2129" t="s">
        <v>64</v>
      </c>
      <c r="I2129" t="s">
        <v>7309</v>
      </c>
      <c r="L2129" t="s">
        <v>291</v>
      </c>
      <c r="M2129" t="s">
        <v>8496</v>
      </c>
    </row>
    <row r="2130" spans="1:13" x14ac:dyDescent="0.25">
      <c r="A2130">
        <v>6730701</v>
      </c>
      <c r="B2130" t="s">
        <v>8497</v>
      </c>
      <c r="C2130" t="str">
        <f>"9789462654709"</f>
        <v>9789462654709</v>
      </c>
      <c r="D2130" t="str">
        <f>"9789462654716"</f>
        <v>9789462654716</v>
      </c>
      <c r="E2130" t="s">
        <v>5216</v>
      </c>
      <c r="F2130" s="1">
        <v>44460</v>
      </c>
      <c r="G2130" t="s">
        <v>8498</v>
      </c>
      <c r="H2130" t="s">
        <v>766</v>
      </c>
      <c r="I2130" t="s">
        <v>5218</v>
      </c>
      <c r="L2130" t="s">
        <v>20</v>
      </c>
      <c r="M2130" t="s">
        <v>8499</v>
      </c>
    </row>
    <row r="2131" spans="1:13" x14ac:dyDescent="0.25">
      <c r="A2131">
        <v>6732941</v>
      </c>
      <c r="B2131" t="s">
        <v>8500</v>
      </c>
      <c r="C2131" t="str">
        <f>"9783658342975"</f>
        <v>9783658342975</v>
      </c>
      <c r="D2131" t="str">
        <f>"9783658342982"</f>
        <v>9783658342982</v>
      </c>
      <c r="E2131" t="s">
        <v>4472</v>
      </c>
      <c r="F2131" s="1">
        <v>44461</v>
      </c>
      <c r="G2131" t="s">
        <v>8501</v>
      </c>
      <c r="H2131" t="s">
        <v>30</v>
      </c>
      <c r="I2131" t="s">
        <v>6917</v>
      </c>
      <c r="L2131" t="s">
        <v>291</v>
      </c>
      <c r="M2131" t="s">
        <v>8502</v>
      </c>
    </row>
    <row r="2132" spans="1:13" x14ac:dyDescent="0.25">
      <c r="A2132">
        <v>6732942</v>
      </c>
      <c r="B2132" t="s">
        <v>8503</v>
      </c>
      <c r="C2132" t="str">
        <f>"9789811659829"</f>
        <v>9789811659829</v>
      </c>
      <c r="D2132" t="str">
        <f>"9789811659836"</f>
        <v>9789811659836</v>
      </c>
      <c r="E2132" t="s">
        <v>4099</v>
      </c>
      <c r="F2132" s="1">
        <v>44461</v>
      </c>
      <c r="G2132" t="s">
        <v>8504</v>
      </c>
      <c r="H2132" t="s">
        <v>5094</v>
      </c>
      <c r="I2132" t="s">
        <v>6682</v>
      </c>
      <c r="L2132" t="s">
        <v>20</v>
      </c>
      <c r="M2132" t="s">
        <v>8505</v>
      </c>
    </row>
    <row r="2133" spans="1:13" x14ac:dyDescent="0.25">
      <c r="A2133">
        <v>6732943</v>
      </c>
      <c r="B2133" t="s">
        <v>8506</v>
      </c>
      <c r="C2133" t="str">
        <f>"9783658332884"</f>
        <v>9783658332884</v>
      </c>
      <c r="D2133" t="str">
        <f>"9783658332891"</f>
        <v>9783658332891</v>
      </c>
      <c r="E2133" t="s">
        <v>4472</v>
      </c>
      <c r="F2133" s="1">
        <v>44461</v>
      </c>
      <c r="G2133" t="s">
        <v>8507</v>
      </c>
      <c r="H2133" t="s">
        <v>363</v>
      </c>
      <c r="I2133" t="s">
        <v>8508</v>
      </c>
      <c r="L2133" t="s">
        <v>291</v>
      </c>
      <c r="M2133" t="s">
        <v>8509</v>
      </c>
    </row>
    <row r="2134" spans="1:13" x14ac:dyDescent="0.25">
      <c r="A2134">
        <v>6733486</v>
      </c>
      <c r="B2134" t="s">
        <v>8510</v>
      </c>
      <c r="C2134" t="str">
        <f>"9783030721916"</f>
        <v>9783030721916</v>
      </c>
      <c r="D2134" t="str">
        <f>"9783030721923"</f>
        <v>9783030721923</v>
      </c>
      <c r="E2134" t="s">
        <v>2905</v>
      </c>
      <c r="F2134" s="1">
        <v>44462</v>
      </c>
      <c r="G2134" t="s">
        <v>8511</v>
      </c>
      <c r="H2134" t="s">
        <v>2623</v>
      </c>
      <c r="I2134" t="s">
        <v>8512</v>
      </c>
      <c r="L2134" t="s">
        <v>20</v>
      </c>
      <c r="M2134" t="s">
        <v>8513</v>
      </c>
    </row>
    <row r="2135" spans="1:13" x14ac:dyDescent="0.25">
      <c r="A2135">
        <v>6733487</v>
      </c>
      <c r="B2135" t="s">
        <v>8514</v>
      </c>
      <c r="C2135" t="str">
        <f>"9783658354114"</f>
        <v>9783658354114</v>
      </c>
      <c r="D2135" t="str">
        <f>"9783658354121"</f>
        <v>9783658354121</v>
      </c>
      <c r="E2135" t="s">
        <v>4472</v>
      </c>
      <c r="F2135" s="1">
        <v>44462</v>
      </c>
      <c r="G2135" t="s">
        <v>8515</v>
      </c>
      <c r="H2135" t="s">
        <v>363</v>
      </c>
      <c r="I2135" t="s">
        <v>8164</v>
      </c>
      <c r="L2135" t="s">
        <v>291</v>
      </c>
      <c r="M2135" t="s">
        <v>8516</v>
      </c>
    </row>
    <row r="2136" spans="1:13" x14ac:dyDescent="0.25">
      <c r="A2136">
        <v>6733953</v>
      </c>
      <c r="B2136" t="s">
        <v>8517</v>
      </c>
      <c r="C2136" t="str">
        <f>""</f>
        <v/>
      </c>
      <c r="D2136" t="str">
        <f>"9782759232499"</f>
        <v>9782759232499</v>
      </c>
      <c r="E2136" t="s">
        <v>2434</v>
      </c>
      <c r="F2136" s="1">
        <v>44224</v>
      </c>
      <c r="G2136" t="s">
        <v>8518</v>
      </c>
      <c r="H2136" t="s">
        <v>8519</v>
      </c>
      <c r="L2136" t="s">
        <v>1279</v>
      </c>
      <c r="M2136" t="s">
        <v>8520</v>
      </c>
    </row>
    <row r="2137" spans="1:13" x14ac:dyDescent="0.25">
      <c r="A2137">
        <v>6733957</v>
      </c>
      <c r="B2137" t="s">
        <v>8521</v>
      </c>
      <c r="C2137" t="str">
        <f>""</f>
        <v/>
      </c>
      <c r="D2137" t="str">
        <f>"9782759226818"</f>
        <v>9782759226818</v>
      </c>
      <c r="E2137" t="s">
        <v>2434</v>
      </c>
      <c r="F2137" s="1">
        <v>43601</v>
      </c>
      <c r="G2137" t="s">
        <v>8522</v>
      </c>
      <c r="H2137" t="s">
        <v>8523</v>
      </c>
      <c r="L2137" t="s">
        <v>1279</v>
      </c>
      <c r="M2137" t="s">
        <v>8524</v>
      </c>
    </row>
    <row r="2138" spans="1:13" x14ac:dyDescent="0.25">
      <c r="A2138">
        <v>6733958</v>
      </c>
      <c r="B2138" t="s">
        <v>8525</v>
      </c>
      <c r="C2138" t="str">
        <f>""</f>
        <v/>
      </c>
      <c r="D2138" t="str">
        <f>"9782759232567"</f>
        <v>9782759232567</v>
      </c>
      <c r="E2138" t="s">
        <v>2434</v>
      </c>
      <c r="F2138" s="1">
        <v>44154</v>
      </c>
      <c r="G2138" t="s">
        <v>8526</v>
      </c>
      <c r="L2138" t="s">
        <v>1279</v>
      </c>
      <c r="M2138" t="s">
        <v>8527</v>
      </c>
    </row>
    <row r="2139" spans="1:13" x14ac:dyDescent="0.25">
      <c r="A2139">
        <v>6733959</v>
      </c>
      <c r="B2139" t="s">
        <v>8528</v>
      </c>
      <c r="C2139" t="str">
        <f>""</f>
        <v/>
      </c>
      <c r="D2139" t="str">
        <f>"9782759231034"</f>
        <v>9782759231034</v>
      </c>
      <c r="E2139" t="s">
        <v>2434</v>
      </c>
      <c r="F2139" s="1">
        <v>43731</v>
      </c>
      <c r="G2139" t="s">
        <v>8529</v>
      </c>
      <c r="H2139" t="s">
        <v>8523</v>
      </c>
      <c r="L2139" t="s">
        <v>20</v>
      </c>
      <c r="M2139" t="s">
        <v>8530</v>
      </c>
    </row>
    <row r="2140" spans="1:13" x14ac:dyDescent="0.25">
      <c r="A2140">
        <v>6733962</v>
      </c>
      <c r="B2140" t="s">
        <v>8531</v>
      </c>
      <c r="C2140" t="str">
        <f>""</f>
        <v/>
      </c>
      <c r="D2140" t="str">
        <f>"9782759230594"</f>
        <v>9782759230594</v>
      </c>
      <c r="E2140" t="s">
        <v>2434</v>
      </c>
      <c r="F2140" s="1">
        <v>43605</v>
      </c>
      <c r="G2140" t="s">
        <v>8532</v>
      </c>
      <c r="H2140" t="s">
        <v>1283</v>
      </c>
      <c r="L2140" t="s">
        <v>1279</v>
      </c>
      <c r="M2140" t="s">
        <v>8533</v>
      </c>
    </row>
    <row r="2141" spans="1:13" x14ac:dyDescent="0.25">
      <c r="A2141">
        <v>6733963</v>
      </c>
      <c r="B2141" t="s">
        <v>8534</v>
      </c>
      <c r="C2141" t="str">
        <f>""</f>
        <v/>
      </c>
      <c r="D2141" t="str">
        <f>"9782759231867"</f>
        <v>9782759231867</v>
      </c>
      <c r="E2141" t="s">
        <v>2434</v>
      </c>
      <c r="F2141" s="1">
        <v>44092</v>
      </c>
      <c r="G2141" t="s">
        <v>8535</v>
      </c>
      <c r="H2141" t="s">
        <v>4161</v>
      </c>
      <c r="L2141" t="s">
        <v>20</v>
      </c>
      <c r="M2141" t="s">
        <v>8536</v>
      </c>
    </row>
    <row r="2142" spans="1:13" x14ac:dyDescent="0.25">
      <c r="A2142">
        <v>6733965</v>
      </c>
      <c r="B2142" t="s">
        <v>8537</v>
      </c>
      <c r="C2142" t="str">
        <f>""</f>
        <v/>
      </c>
      <c r="D2142" t="str">
        <f>"9782759231461"</f>
        <v>9782759231461</v>
      </c>
      <c r="E2142" t="s">
        <v>2434</v>
      </c>
      <c r="F2142" s="1">
        <v>43812</v>
      </c>
      <c r="G2142" t="s">
        <v>8538</v>
      </c>
      <c r="H2142" t="s">
        <v>1283</v>
      </c>
      <c r="L2142" t="s">
        <v>20</v>
      </c>
      <c r="M2142" t="s">
        <v>8539</v>
      </c>
    </row>
    <row r="2143" spans="1:13" x14ac:dyDescent="0.25">
      <c r="A2143">
        <v>6733966</v>
      </c>
      <c r="B2143" t="s">
        <v>8540</v>
      </c>
      <c r="C2143" t="str">
        <f>""</f>
        <v/>
      </c>
      <c r="D2143" t="str">
        <f>"9782759231591"</f>
        <v>9782759231591</v>
      </c>
      <c r="E2143" t="s">
        <v>2434</v>
      </c>
      <c r="F2143" s="1">
        <v>44092</v>
      </c>
      <c r="G2143" t="s">
        <v>8535</v>
      </c>
      <c r="H2143" t="s">
        <v>4161</v>
      </c>
      <c r="L2143" t="s">
        <v>1279</v>
      </c>
      <c r="M2143" t="s">
        <v>8541</v>
      </c>
    </row>
    <row r="2144" spans="1:13" x14ac:dyDescent="0.25">
      <c r="A2144">
        <v>6733969</v>
      </c>
      <c r="B2144" t="s">
        <v>8542</v>
      </c>
      <c r="C2144" t="str">
        <f>""</f>
        <v/>
      </c>
      <c r="D2144" t="str">
        <f>"9782759231256"</f>
        <v>9782759231256</v>
      </c>
      <c r="E2144" t="s">
        <v>2434</v>
      </c>
      <c r="F2144" s="1">
        <v>44007</v>
      </c>
      <c r="G2144" t="s">
        <v>8543</v>
      </c>
      <c r="H2144" t="s">
        <v>1283</v>
      </c>
      <c r="L2144" t="s">
        <v>1279</v>
      </c>
      <c r="M2144" t="s">
        <v>8544</v>
      </c>
    </row>
    <row r="2145" spans="1:13" x14ac:dyDescent="0.25">
      <c r="A2145">
        <v>6733970</v>
      </c>
      <c r="B2145" t="s">
        <v>8545</v>
      </c>
      <c r="C2145" t="str">
        <f>""</f>
        <v/>
      </c>
      <c r="D2145" t="str">
        <f>"9782759232376"</f>
        <v>9782759232376</v>
      </c>
      <c r="E2145" t="s">
        <v>2434</v>
      </c>
      <c r="F2145" s="1">
        <v>44013</v>
      </c>
      <c r="G2145" t="s">
        <v>8546</v>
      </c>
      <c r="H2145" t="s">
        <v>8547</v>
      </c>
      <c r="L2145" t="s">
        <v>1279</v>
      </c>
      <c r="M2145" t="s">
        <v>8548</v>
      </c>
    </row>
    <row r="2146" spans="1:13" x14ac:dyDescent="0.25">
      <c r="A2146">
        <v>6733971</v>
      </c>
      <c r="B2146" t="s">
        <v>8549</v>
      </c>
      <c r="C2146" t="str">
        <f>""</f>
        <v/>
      </c>
      <c r="D2146" t="str">
        <f>"9791097143022"</f>
        <v>9791097143022</v>
      </c>
      <c r="E2146" t="s">
        <v>2434</v>
      </c>
      <c r="F2146" s="1">
        <v>43152</v>
      </c>
      <c r="G2146" t="s">
        <v>8550</v>
      </c>
      <c r="H2146" t="s">
        <v>83</v>
      </c>
      <c r="L2146" t="s">
        <v>1279</v>
      </c>
      <c r="M2146" t="s">
        <v>8551</v>
      </c>
    </row>
    <row r="2147" spans="1:13" x14ac:dyDescent="0.25">
      <c r="A2147">
        <v>6733972</v>
      </c>
      <c r="B2147" t="s">
        <v>8552</v>
      </c>
      <c r="C2147" t="str">
        <f>""</f>
        <v/>
      </c>
      <c r="D2147" t="str">
        <f>"9782759231737"</f>
        <v>9782759231737</v>
      </c>
      <c r="E2147" t="s">
        <v>2434</v>
      </c>
      <c r="F2147" s="1">
        <v>44007</v>
      </c>
      <c r="G2147" t="s">
        <v>8553</v>
      </c>
      <c r="H2147" t="s">
        <v>4945</v>
      </c>
      <c r="L2147" t="s">
        <v>1279</v>
      </c>
      <c r="M2147" t="s">
        <v>8554</v>
      </c>
    </row>
    <row r="2148" spans="1:13" x14ac:dyDescent="0.25">
      <c r="A2148">
        <v>6733974</v>
      </c>
      <c r="B2148" t="s">
        <v>8555</v>
      </c>
      <c r="C2148" t="str">
        <f>""</f>
        <v/>
      </c>
      <c r="D2148" t="str">
        <f>"9782759230976"</f>
        <v>9782759230976</v>
      </c>
      <c r="E2148" t="s">
        <v>2434</v>
      </c>
      <c r="F2148" s="1">
        <v>44014</v>
      </c>
      <c r="G2148" t="s">
        <v>8556</v>
      </c>
      <c r="H2148" t="s">
        <v>4161</v>
      </c>
      <c r="L2148" t="s">
        <v>1279</v>
      </c>
      <c r="M2148" t="s">
        <v>8557</v>
      </c>
    </row>
    <row r="2149" spans="1:13" x14ac:dyDescent="0.25">
      <c r="A2149">
        <v>6733978</v>
      </c>
      <c r="B2149" t="s">
        <v>8558</v>
      </c>
      <c r="C2149" t="str">
        <f>""</f>
        <v/>
      </c>
      <c r="D2149" t="str">
        <f>"9782759221585"</f>
        <v>9782759221585</v>
      </c>
      <c r="E2149" t="s">
        <v>2434</v>
      </c>
      <c r="F2149" s="1">
        <v>41718</v>
      </c>
      <c r="G2149" t="s">
        <v>8559</v>
      </c>
      <c r="H2149" t="s">
        <v>1283</v>
      </c>
      <c r="L2149" t="s">
        <v>20</v>
      </c>
      <c r="M2149" t="s">
        <v>8560</v>
      </c>
    </row>
    <row r="2150" spans="1:13" x14ac:dyDescent="0.25">
      <c r="A2150">
        <v>6733981</v>
      </c>
      <c r="B2150" t="s">
        <v>8561</v>
      </c>
      <c r="C2150" t="str">
        <f>"9782759231294"</f>
        <v>9782759231294</v>
      </c>
      <c r="D2150" t="str">
        <f>"9782759231300"</f>
        <v>9782759231300</v>
      </c>
      <c r="E2150" t="s">
        <v>2434</v>
      </c>
      <c r="F2150" s="1">
        <v>43853</v>
      </c>
      <c r="G2150" t="s">
        <v>7417</v>
      </c>
      <c r="H2150" t="s">
        <v>8562</v>
      </c>
      <c r="L2150" t="s">
        <v>1279</v>
      </c>
      <c r="M2150" t="s">
        <v>8563</v>
      </c>
    </row>
    <row r="2151" spans="1:13" x14ac:dyDescent="0.25">
      <c r="A2151">
        <v>6733984</v>
      </c>
      <c r="B2151" t="s">
        <v>8564</v>
      </c>
      <c r="C2151" t="str">
        <f>""</f>
        <v/>
      </c>
      <c r="D2151" t="str">
        <f>"9782759223367"</f>
        <v>9782759223367</v>
      </c>
      <c r="E2151" t="s">
        <v>2434</v>
      </c>
      <c r="F2151" s="1">
        <v>42194</v>
      </c>
      <c r="G2151" t="s">
        <v>8565</v>
      </c>
      <c r="H2151" t="s">
        <v>1283</v>
      </c>
      <c r="L2151" t="s">
        <v>1279</v>
      </c>
      <c r="M2151" t="s">
        <v>8566</v>
      </c>
    </row>
    <row r="2152" spans="1:13" x14ac:dyDescent="0.25">
      <c r="A2152">
        <v>6733994</v>
      </c>
      <c r="B2152" t="s">
        <v>8567</v>
      </c>
      <c r="C2152" t="str">
        <f>""</f>
        <v/>
      </c>
      <c r="D2152" t="str">
        <f>"9782759207145"</f>
        <v>9782759207145</v>
      </c>
      <c r="E2152" t="s">
        <v>2434</v>
      </c>
      <c r="F2152" s="1">
        <v>35916</v>
      </c>
      <c r="G2152" t="s">
        <v>8568</v>
      </c>
      <c r="H2152" t="s">
        <v>83</v>
      </c>
      <c r="L2152" t="s">
        <v>1279</v>
      </c>
      <c r="M2152" t="s">
        <v>8569</v>
      </c>
    </row>
    <row r="2153" spans="1:13" x14ac:dyDescent="0.25">
      <c r="A2153">
        <v>6733996</v>
      </c>
      <c r="B2153" t="s">
        <v>8570</v>
      </c>
      <c r="C2153" t="str">
        <f>""</f>
        <v/>
      </c>
      <c r="D2153" t="str">
        <f>"9782759231546"</f>
        <v>9782759231546</v>
      </c>
      <c r="E2153" t="s">
        <v>2434</v>
      </c>
      <c r="F2153" s="1">
        <v>43888</v>
      </c>
      <c r="G2153" t="s">
        <v>8571</v>
      </c>
      <c r="L2153" t="s">
        <v>1279</v>
      </c>
      <c r="M2153" t="s">
        <v>8572</v>
      </c>
    </row>
    <row r="2154" spans="1:13" x14ac:dyDescent="0.25">
      <c r="A2154">
        <v>6733997</v>
      </c>
      <c r="B2154" t="s">
        <v>8573</v>
      </c>
      <c r="C2154" t="str">
        <f>""</f>
        <v/>
      </c>
      <c r="D2154" t="str">
        <f>"9782759227846"</f>
        <v>9782759227846</v>
      </c>
      <c r="E2154" t="s">
        <v>2434</v>
      </c>
      <c r="F2154" s="1">
        <v>43817</v>
      </c>
      <c r="G2154" t="s">
        <v>8574</v>
      </c>
      <c r="H2154" t="s">
        <v>1283</v>
      </c>
      <c r="L2154" t="s">
        <v>1279</v>
      </c>
      <c r="M2154" t="s">
        <v>8575</v>
      </c>
    </row>
    <row r="2155" spans="1:13" x14ac:dyDescent="0.25">
      <c r="A2155">
        <v>6733999</v>
      </c>
      <c r="B2155" t="s">
        <v>8576</v>
      </c>
      <c r="C2155" t="str">
        <f>""</f>
        <v/>
      </c>
      <c r="D2155" t="str">
        <f>"9782759227099"</f>
        <v>9782759227099</v>
      </c>
      <c r="E2155" t="s">
        <v>2434</v>
      </c>
      <c r="F2155" s="1">
        <v>43132</v>
      </c>
      <c r="G2155" t="s">
        <v>8577</v>
      </c>
      <c r="H2155" t="s">
        <v>8578</v>
      </c>
      <c r="L2155" t="s">
        <v>1279</v>
      </c>
      <c r="M2155" t="s">
        <v>8579</v>
      </c>
    </row>
    <row r="2156" spans="1:13" x14ac:dyDescent="0.25">
      <c r="A2156">
        <v>6734000</v>
      </c>
      <c r="B2156" t="s">
        <v>8580</v>
      </c>
      <c r="C2156" t="str">
        <f>""</f>
        <v/>
      </c>
      <c r="D2156" t="str">
        <f>"9782759232604"</f>
        <v>9782759232604</v>
      </c>
      <c r="E2156" t="s">
        <v>2434</v>
      </c>
      <c r="F2156" s="1">
        <v>44109</v>
      </c>
      <c r="G2156" t="s">
        <v>8581</v>
      </c>
      <c r="H2156" t="s">
        <v>489</v>
      </c>
      <c r="L2156" t="s">
        <v>1279</v>
      </c>
      <c r="M2156" t="s">
        <v>8582</v>
      </c>
    </row>
    <row r="2157" spans="1:13" x14ac:dyDescent="0.25">
      <c r="A2157">
        <v>6734002</v>
      </c>
      <c r="B2157" t="s">
        <v>8583</v>
      </c>
      <c r="C2157" t="str">
        <f>""</f>
        <v/>
      </c>
      <c r="D2157" t="str">
        <f>"9782759232628"</f>
        <v>9782759232628</v>
      </c>
      <c r="E2157" t="s">
        <v>2434</v>
      </c>
      <c r="F2157" s="1">
        <v>44130</v>
      </c>
      <c r="G2157" t="s">
        <v>8584</v>
      </c>
      <c r="H2157" t="s">
        <v>64</v>
      </c>
      <c r="L2157" t="s">
        <v>1279</v>
      </c>
      <c r="M2157" t="s">
        <v>8585</v>
      </c>
    </row>
    <row r="2158" spans="1:13" x14ac:dyDescent="0.25">
      <c r="A2158">
        <v>6734004</v>
      </c>
      <c r="B2158" t="s">
        <v>8586</v>
      </c>
      <c r="C2158" t="str">
        <f>""</f>
        <v/>
      </c>
      <c r="D2158" t="str">
        <f>"9782759224937"</f>
        <v>9782759224937</v>
      </c>
      <c r="E2158" t="s">
        <v>2434</v>
      </c>
      <c r="F2158" s="1">
        <v>37537</v>
      </c>
      <c r="G2158" t="s">
        <v>8587</v>
      </c>
      <c r="H2158" t="s">
        <v>83</v>
      </c>
      <c r="L2158" t="s">
        <v>1279</v>
      </c>
      <c r="M2158" t="s">
        <v>8588</v>
      </c>
    </row>
    <row r="2159" spans="1:13" x14ac:dyDescent="0.25">
      <c r="A2159">
        <v>6734005</v>
      </c>
      <c r="B2159" t="s">
        <v>8589</v>
      </c>
      <c r="C2159" t="str">
        <f>""</f>
        <v/>
      </c>
      <c r="D2159" t="str">
        <f>"9782759229079"</f>
        <v>9782759229079</v>
      </c>
      <c r="E2159" t="s">
        <v>2434</v>
      </c>
      <c r="F2159" s="1">
        <v>43434</v>
      </c>
      <c r="G2159" t="s">
        <v>8590</v>
      </c>
      <c r="H2159" t="s">
        <v>83</v>
      </c>
      <c r="L2159" t="s">
        <v>20</v>
      </c>
      <c r="M2159" t="s">
        <v>8591</v>
      </c>
    </row>
    <row r="2160" spans="1:13" x14ac:dyDescent="0.25">
      <c r="A2160">
        <v>6734007</v>
      </c>
      <c r="B2160" t="s">
        <v>8592</v>
      </c>
      <c r="C2160" t="str">
        <f>""</f>
        <v/>
      </c>
      <c r="D2160" t="str">
        <f>"9782759222230"</f>
        <v>9782759222230</v>
      </c>
      <c r="E2160" t="s">
        <v>2434</v>
      </c>
      <c r="F2160" s="1">
        <v>41990</v>
      </c>
      <c r="G2160" t="s">
        <v>8593</v>
      </c>
      <c r="H2160" t="s">
        <v>83</v>
      </c>
      <c r="L2160" t="s">
        <v>1279</v>
      </c>
      <c r="M2160" t="s">
        <v>8594</v>
      </c>
    </row>
    <row r="2161" spans="1:13" x14ac:dyDescent="0.25">
      <c r="A2161">
        <v>6734008</v>
      </c>
      <c r="B2161" t="s">
        <v>8595</v>
      </c>
      <c r="C2161" t="str">
        <f>""</f>
        <v/>
      </c>
      <c r="D2161" t="str">
        <f>"9782759229062"</f>
        <v>9782759229062</v>
      </c>
      <c r="E2161" t="s">
        <v>2434</v>
      </c>
      <c r="F2161" s="1">
        <v>43349</v>
      </c>
      <c r="G2161" t="s">
        <v>8596</v>
      </c>
      <c r="H2161" t="s">
        <v>266</v>
      </c>
      <c r="L2161" t="s">
        <v>1279</v>
      </c>
      <c r="M2161" t="s">
        <v>8597</v>
      </c>
    </row>
    <row r="2162" spans="1:13" x14ac:dyDescent="0.25">
      <c r="A2162">
        <v>6734010</v>
      </c>
      <c r="B2162" t="s">
        <v>8598</v>
      </c>
      <c r="C2162" t="str">
        <f>""</f>
        <v/>
      </c>
      <c r="D2162" t="str">
        <f>"9782738014344"</f>
        <v>9782738014344</v>
      </c>
      <c r="E2162" t="s">
        <v>2434</v>
      </c>
      <c r="F2162" s="1">
        <v>43796</v>
      </c>
      <c r="G2162" t="s">
        <v>8599</v>
      </c>
      <c r="H2162" t="s">
        <v>1283</v>
      </c>
      <c r="L2162" t="s">
        <v>1279</v>
      </c>
      <c r="M2162" t="s">
        <v>8600</v>
      </c>
    </row>
    <row r="2163" spans="1:13" x14ac:dyDescent="0.25">
      <c r="A2163">
        <v>6734013</v>
      </c>
      <c r="B2163" t="s">
        <v>8601</v>
      </c>
      <c r="C2163" t="str">
        <f>""</f>
        <v/>
      </c>
      <c r="D2163" t="str">
        <f>"9782759231188"</f>
        <v>9782759231188</v>
      </c>
      <c r="E2163" t="s">
        <v>2434</v>
      </c>
      <c r="F2163" s="1">
        <v>43860</v>
      </c>
      <c r="G2163" t="s">
        <v>8602</v>
      </c>
      <c r="H2163" t="s">
        <v>8603</v>
      </c>
      <c r="L2163" t="s">
        <v>1279</v>
      </c>
      <c r="M2163" t="s">
        <v>8604</v>
      </c>
    </row>
    <row r="2164" spans="1:13" x14ac:dyDescent="0.25">
      <c r="A2164">
        <v>6734014</v>
      </c>
      <c r="B2164" t="s">
        <v>8605</v>
      </c>
      <c r="C2164" t="str">
        <f>""</f>
        <v/>
      </c>
      <c r="D2164" t="str">
        <f>"9782759230914"</f>
        <v>9782759230914</v>
      </c>
      <c r="E2164" t="s">
        <v>2434</v>
      </c>
      <c r="F2164" s="1">
        <v>43888</v>
      </c>
      <c r="G2164" t="s">
        <v>8606</v>
      </c>
      <c r="H2164" t="s">
        <v>64</v>
      </c>
      <c r="L2164" t="s">
        <v>1279</v>
      </c>
      <c r="M2164" t="s">
        <v>8607</v>
      </c>
    </row>
    <row r="2165" spans="1:13" x14ac:dyDescent="0.25">
      <c r="A2165">
        <v>6734015</v>
      </c>
      <c r="B2165" t="s">
        <v>8608</v>
      </c>
      <c r="C2165" t="str">
        <f>""</f>
        <v/>
      </c>
      <c r="D2165" t="str">
        <f>"9782759230754"</f>
        <v>9782759230754</v>
      </c>
      <c r="E2165" t="s">
        <v>2434</v>
      </c>
      <c r="F2165" s="1">
        <v>43731</v>
      </c>
      <c r="G2165" t="s">
        <v>8609</v>
      </c>
      <c r="H2165" t="s">
        <v>83</v>
      </c>
      <c r="L2165" t="s">
        <v>1279</v>
      </c>
      <c r="M2165" t="s">
        <v>8610</v>
      </c>
    </row>
    <row r="2166" spans="1:13" x14ac:dyDescent="0.25">
      <c r="A2166">
        <v>6734019</v>
      </c>
      <c r="B2166" t="s">
        <v>8611</v>
      </c>
      <c r="C2166" t="str">
        <f>""</f>
        <v/>
      </c>
      <c r="D2166" t="str">
        <f>"9782759227792"</f>
        <v>9782759227792</v>
      </c>
      <c r="E2166" t="s">
        <v>2434</v>
      </c>
      <c r="F2166" s="1">
        <v>43223</v>
      </c>
      <c r="G2166" t="s">
        <v>8612</v>
      </c>
      <c r="H2166" t="s">
        <v>83</v>
      </c>
      <c r="L2166" t="s">
        <v>1279</v>
      </c>
      <c r="M2166" t="s">
        <v>8613</v>
      </c>
    </row>
    <row r="2167" spans="1:13" x14ac:dyDescent="0.25">
      <c r="A2167">
        <v>6734022</v>
      </c>
      <c r="B2167" t="s">
        <v>8614</v>
      </c>
      <c r="C2167" t="str">
        <f>""</f>
        <v/>
      </c>
      <c r="D2167" t="str">
        <f>"9782759231218"</f>
        <v>9782759231218</v>
      </c>
      <c r="E2167" t="s">
        <v>2434</v>
      </c>
      <c r="F2167" s="1">
        <v>44043</v>
      </c>
      <c r="G2167" t="s">
        <v>8615</v>
      </c>
      <c r="H2167" t="s">
        <v>83</v>
      </c>
      <c r="L2167" t="s">
        <v>1279</v>
      </c>
      <c r="M2167" t="s">
        <v>8616</v>
      </c>
    </row>
    <row r="2168" spans="1:13" x14ac:dyDescent="0.25">
      <c r="A2168">
        <v>6734023</v>
      </c>
      <c r="B2168" t="s">
        <v>8617</v>
      </c>
      <c r="C2168" t="str">
        <f>""</f>
        <v/>
      </c>
      <c r="D2168" t="str">
        <f>"9782759225781"</f>
        <v>9782759225781</v>
      </c>
      <c r="E2168" t="s">
        <v>2434</v>
      </c>
      <c r="F2168" s="1">
        <v>42971</v>
      </c>
      <c r="G2168" t="s">
        <v>8618</v>
      </c>
      <c r="H2168" t="s">
        <v>64</v>
      </c>
      <c r="L2168" t="s">
        <v>1279</v>
      </c>
      <c r="M2168" t="s">
        <v>8619</v>
      </c>
    </row>
    <row r="2169" spans="1:13" x14ac:dyDescent="0.25">
      <c r="A2169">
        <v>6734026</v>
      </c>
      <c r="B2169" t="s">
        <v>8620</v>
      </c>
      <c r="C2169" t="str">
        <f>""</f>
        <v/>
      </c>
      <c r="D2169" t="str">
        <f>"9782759224821"</f>
        <v>9782759224821</v>
      </c>
      <c r="E2169" t="s">
        <v>2434</v>
      </c>
      <c r="F2169" s="1">
        <v>43132</v>
      </c>
      <c r="G2169" t="s">
        <v>8621</v>
      </c>
      <c r="H2169" t="s">
        <v>83</v>
      </c>
      <c r="L2169" t="s">
        <v>1279</v>
      </c>
      <c r="M2169" t="s">
        <v>8622</v>
      </c>
    </row>
    <row r="2170" spans="1:13" x14ac:dyDescent="0.25">
      <c r="A2170">
        <v>6734029</v>
      </c>
      <c r="B2170" t="s">
        <v>8623</v>
      </c>
      <c r="C2170" t="str">
        <f>""</f>
        <v/>
      </c>
      <c r="D2170" t="str">
        <f>"9782759229222"</f>
        <v>9782759229222</v>
      </c>
      <c r="E2170" t="s">
        <v>2434</v>
      </c>
      <c r="F2170" s="1">
        <v>43451</v>
      </c>
      <c r="G2170" t="s">
        <v>8624</v>
      </c>
      <c r="H2170" t="s">
        <v>83</v>
      </c>
      <c r="L2170" t="s">
        <v>1279</v>
      </c>
      <c r="M2170" t="s">
        <v>8625</v>
      </c>
    </row>
    <row r="2171" spans="1:13" x14ac:dyDescent="0.25">
      <c r="A2171">
        <v>6734034</v>
      </c>
      <c r="B2171" t="s">
        <v>8626</v>
      </c>
      <c r="C2171" t="str">
        <f>""</f>
        <v/>
      </c>
      <c r="D2171" t="str">
        <f>"9782759230846"</f>
        <v>9782759230846</v>
      </c>
      <c r="E2171" t="s">
        <v>2434</v>
      </c>
      <c r="F2171" s="1">
        <v>43769</v>
      </c>
      <c r="G2171" t="s">
        <v>8627</v>
      </c>
      <c r="H2171" t="s">
        <v>4161</v>
      </c>
      <c r="L2171" t="s">
        <v>1279</v>
      </c>
      <c r="M2171" t="s">
        <v>8628</v>
      </c>
    </row>
    <row r="2172" spans="1:13" x14ac:dyDescent="0.25">
      <c r="A2172">
        <v>6734037</v>
      </c>
      <c r="B2172" t="s">
        <v>8629</v>
      </c>
      <c r="C2172" t="str">
        <f>""</f>
        <v/>
      </c>
      <c r="D2172" t="str">
        <f>"9782759220038"</f>
        <v>9782759220038</v>
      </c>
      <c r="E2172" t="s">
        <v>2434</v>
      </c>
      <c r="F2172" s="1">
        <v>41562</v>
      </c>
      <c r="G2172" t="s">
        <v>8630</v>
      </c>
      <c r="L2172" t="s">
        <v>1279</v>
      </c>
      <c r="M2172" t="s">
        <v>8631</v>
      </c>
    </row>
    <row r="2173" spans="1:13" x14ac:dyDescent="0.25">
      <c r="A2173">
        <v>6734043</v>
      </c>
      <c r="B2173" t="s">
        <v>8632</v>
      </c>
      <c r="C2173" t="str">
        <f>"9782759231324"</f>
        <v>9782759231324</v>
      </c>
      <c r="D2173" t="str">
        <f>"9782759231331"</f>
        <v>9782759231331</v>
      </c>
      <c r="E2173" t="s">
        <v>2434</v>
      </c>
      <c r="F2173" s="1">
        <v>44013</v>
      </c>
      <c r="G2173" t="s">
        <v>8633</v>
      </c>
      <c r="H2173" t="s">
        <v>1283</v>
      </c>
      <c r="L2173" t="s">
        <v>1279</v>
      </c>
      <c r="M2173" t="s">
        <v>8634</v>
      </c>
    </row>
    <row r="2174" spans="1:13" x14ac:dyDescent="0.25">
      <c r="A2174">
        <v>6734044</v>
      </c>
      <c r="B2174" t="s">
        <v>8635</v>
      </c>
      <c r="C2174" t="str">
        <f>""</f>
        <v/>
      </c>
      <c r="D2174" t="str">
        <f>"9782759227723"</f>
        <v>9782759227723</v>
      </c>
      <c r="E2174" t="s">
        <v>2434</v>
      </c>
      <c r="F2174" s="1">
        <v>43193</v>
      </c>
      <c r="G2174" t="s">
        <v>8636</v>
      </c>
      <c r="H2174" t="s">
        <v>8637</v>
      </c>
      <c r="L2174" t="s">
        <v>20</v>
      </c>
      <c r="M2174" t="s">
        <v>8638</v>
      </c>
    </row>
    <row r="2175" spans="1:13" x14ac:dyDescent="0.25">
      <c r="A2175">
        <v>6734046</v>
      </c>
      <c r="B2175" t="s">
        <v>8639</v>
      </c>
      <c r="C2175" t="str">
        <f>""</f>
        <v/>
      </c>
      <c r="D2175" t="str">
        <f>"9782759224944"</f>
        <v>9782759224944</v>
      </c>
      <c r="E2175" t="s">
        <v>2434</v>
      </c>
      <c r="F2175" s="1">
        <v>37495</v>
      </c>
      <c r="G2175" t="s">
        <v>8587</v>
      </c>
      <c r="H2175" t="s">
        <v>83</v>
      </c>
      <c r="L2175" t="s">
        <v>1279</v>
      </c>
      <c r="M2175" t="s">
        <v>8640</v>
      </c>
    </row>
    <row r="2176" spans="1:13" x14ac:dyDescent="0.25">
      <c r="A2176">
        <v>6734047</v>
      </c>
      <c r="B2176" t="s">
        <v>8641</v>
      </c>
      <c r="C2176" t="str">
        <f>""</f>
        <v/>
      </c>
      <c r="D2176" t="str">
        <f>"9782759227051"</f>
        <v>9782759227051</v>
      </c>
      <c r="E2176" t="s">
        <v>2434</v>
      </c>
      <c r="F2176" s="1">
        <v>43647</v>
      </c>
      <c r="G2176" t="s">
        <v>8642</v>
      </c>
      <c r="H2176" t="s">
        <v>1283</v>
      </c>
      <c r="L2176" t="s">
        <v>1279</v>
      </c>
      <c r="M2176" t="s">
        <v>8643</v>
      </c>
    </row>
    <row r="2177" spans="1:13" x14ac:dyDescent="0.25">
      <c r="A2177">
        <v>6734048</v>
      </c>
      <c r="B2177" t="s">
        <v>8644</v>
      </c>
      <c r="C2177" t="str">
        <f>""</f>
        <v/>
      </c>
      <c r="D2177" t="str">
        <f>"9782759229833"</f>
        <v>9782759229833</v>
      </c>
      <c r="E2177" t="s">
        <v>2434</v>
      </c>
      <c r="F2177" s="1">
        <v>43817</v>
      </c>
      <c r="G2177" t="s">
        <v>8645</v>
      </c>
      <c r="H2177" t="s">
        <v>2304</v>
      </c>
      <c r="L2177" t="s">
        <v>1279</v>
      </c>
      <c r="M2177" t="s">
        <v>8646</v>
      </c>
    </row>
    <row r="2178" spans="1:13" x14ac:dyDescent="0.25">
      <c r="A2178">
        <v>6734054</v>
      </c>
      <c r="B2178" t="s">
        <v>8647</v>
      </c>
      <c r="C2178" t="str">
        <f>""</f>
        <v/>
      </c>
      <c r="D2178" t="str">
        <f>"9782759228355"</f>
        <v>9782759228355</v>
      </c>
      <c r="E2178" t="s">
        <v>2434</v>
      </c>
      <c r="F2178" s="1">
        <v>43203</v>
      </c>
      <c r="G2178" t="s">
        <v>8648</v>
      </c>
      <c r="H2178" t="s">
        <v>266</v>
      </c>
      <c r="L2178" t="s">
        <v>20</v>
      </c>
      <c r="M2178" t="s">
        <v>8649</v>
      </c>
    </row>
    <row r="2179" spans="1:13" x14ac:dyDescent="0.25">
      <c r="A2179">
        <v>6734057</v>
      </c>
      <c r="B2179" t="s">
        <v>8650</v>
      </c>
      <c r="C2179" t="str">
        <f>""</f>
        <v/>
      </c>
      <c r="D2179" t="str">
        <f>"9782759232802"</f>
        <v>9782759232802</v>
      </c>
      <c r="E2179" t="s">
        <v>2434</v>
      </c>
      <c r="F2179" s="1">
        <v>44168</v>
      </c>
      <c r="G2179" t="s">
        <v>8615</v>
      </c>
      <c r="H2179" t="s">
        <v>5371</v>
      </c>
      <c r="L2179" t="s">
        <v>20</v>
      </c>
      <c r="M2179" t="s">
        <v>8651</v>
      </c>
    </row>
    <row r="2180" spans="1:13" x14ac:dyDescent="0.25">
      <c r="A2180">
        <v>6734059</v>
      </c>
      <c r="B2180" t="s">
        <v>8652</v>
      </c>
      <c r="C2180" t="str">
        <f>""</f>
        <v/>
      </c>
      <c r="D2180" t="str">
        <f>"9782759212736"</f>
        <v>9782759212736</v>
      </c>
      <c r="E2180" t="s">
        <v>2434</v>
      </c>
      <c r="F2180" s="1">
        <v>39310</v>
      </c>
      <c r="G2180" t="s">
        <v>8653</v>
      </c>
      <c r="H2180" t="s">
        <v>83</v>
      </c>
      <c r="L2180" t="s">
        <v>20</v>
      </c>
      <c r="M2180" t="s">
        <v>8654</v>
      </c>
    </row>
    <row r="2181" spans="1:13" x14ac:dyDescent="0.25">
      <c r="A2181">
        <v>6734065</v>
      </c>
      <c r="B2181" t="s">
        <v>8655</v>
      </c>
      <c r="C2181" t="str">
        <f>""</f>
        <v/>
      </c>
      <c r="D2181" t="str">
        <f>"9782759232758"</f>
        <v>9782759232758</v>
      </c>
      <c r="E2181" t="s">
        <v>2434</v>
      </c>
      <c r="F2181" s="1">
        <v>44464</v>
      </c>
      <c r="G2181" t="s">
        <v>8656</v>
      </c>
      <c r="H2181" t="s">
        <v>5236</v>
      </c>
      <c r="L2181" t="s">
        <v>1279</v>
      </c>
      <c r="M2181" t="s">
        <v>8657</v>
      </c>
    </row>
    <row r="2182" spans="1:13" x14ac:dyDescent="0.25">
      <c r="A2182">
        <v>6734066</v>
      </c>
      <c r="B2182" t="s">
        <v>8658</v>
      </c>
      <c r="C2182" t="str">
        <f>""</f>
        <v/>
      </c>
      <c r="D2182" t="str">
        <f>"9782759230945"</f>
        <v>9782759230945</v>
      </c>
      <c r="E2182" t="s">
        <v>2434</v>
      </c>
      <c r="F2182" s="1">
        <v>43860</v>
      </c>
      <c r="G2182" t="s">
        <v>8659</v>
      </c>
      <c r="H2182" t="s">
        <v>16</v>
      </c>
      <c r="L2182" t="s">
        <v>1279</v>
      </c>
      <c r="M2182" t="s">
        <v>8660</v>
      </c>
    </row>
    <row r="2183" spans="1:13" x14ac:dyDescent="0.25">
      <c r="A2183">
        <v>6734070</v>
      </c>
      <c r="B2183" t="s">
        <v>8661</v>
      </c>
      <c r="C2183" t="str">
        <f>""</f>
        <v/>
      </c>
      <c r="D2183" t="str">
        <f>"9782759228959"</f>
        <v>9782759228959</v>
      </c>
      <c r="E2183" t="s">
        <v>2434</v>
      </c>
      <c r="F2183" s="1">
        <v>43755</v>
      </c>
      <c r="G2183" t="s">
        <v>8662</v>
      </c>
      <c r="H2183" t="s">
        <v>169</v>
      </c>
      <c r="L2183" t="s">
        <v>1279</v>
      </c>
      <c r="M2183" t="s">
        <v>8663</v>
      </c>
    </row>
    <row r="2184" spans="1:13" x14ac:dyDescent="0.25">
      <c r="A2184">
        <v>6734072</v>
      </c>
      <c r="B2184" t="s">
        <v>8664</v>
      </c>
      <c r="C2184" t="str">
        <f>""</f>
        <v/>
      </c>
      <c r="D2184" t="str">
        <f>"9782759231560"</f>
        <v>9782759231560</v>
      </c>
      <c r="E2184" t="s">
        <v>2434</v>
      </c>
      <c r="F2184" s="1">
        <v>43804</v>
      </c>
      <c r="G2184" t="s">
        <v>4184</v>
      </c>
      <c r="H2184" t="s">
        <v>1283</v>
      </c>
      <c r="L2184" t="s">
        <v>20</v>
      </c>
      <c r="M2184" t="s">
        <v>8665</v>
      </c>
    </row>
    <row r="2185" spans="1:13" x14ac:dyDescent="0.25">
      <c r="A2185">
        <v>6734073</v>
      </c>
      <c r="B2185" t="s">
        <v>8666</v>
      </c>
      <c r="C2185" t="str">
        <f>""</f>
        <v/>
      </c>
      <c r="D2185" t="str">
        <f>"9782759231683"</f>
        <v>9782759231683</v>
      </c>
      <c r="E2185" t="s">
        <v>2434</v>
      </c>
      <c r="F2185" s="1">
        <v>43983</v>
      </c>
      <c r="G2185" t="s">
        <v>8667</v>
      </c>
      <c r="H2185" t="s">
        <v>266</v>
      </c>
      <c r="L2185" t="s">
        <v>1279</v>
      </c>
      <c r="M2185" t="s">
        <v>8668</v>
      </c>
    </row>
    <row r="2186" spans="1:13" x14ac:dyDescent="0.25">
      <c r="A2186">
        <v>6734076</v>
      </c>
      <c r="B2186" t="s">
        <v>8669</v>
      </c>
      <c r="C2186" t="str">
        <f>""</f>
        <v/>
      </c>
      <c r="D2186" t="str">
        <f>"9782759232994"</f>
        <v>9782759232994</v>
      </c>
      <c r="E2186" t="s">
        <v>2434</v>
      </c>
      <c r="F2186" s="1">
        <v>38513</v>
      </c>
      <c r="G2186" t="s">
        <v>2434</v>
      </c>
      <c r="H2186" t="s">
        <v>8523</v>
      </c>
      <c r="L2186" t="s">
        <v>20</v>
      </c>
      <c r="M2186" t="s">
        <v>8670</v>
      </c>
    </row>
    <row r="2187" spans="1:13" x14ac:dyDescent="0.25">
      <c r="A2187">
        <v>6734079</v>
      </c>
      <c r="B2187" t="s">
        <v>8671</v>
      </c>
      <c r="C2187" t="str">
        <f>""</f>
        <v/>
      </c>
      <c r="D2187" t="str">
        <f>"9782759232710"</f>
        <v>9782759232710</v>
      </c>
      <c r="E2187" t="s">
        <v>2434</v>
      </c>
      <c r="F2187" s="1">
        <v>44238</v>
      </c>
      <c r="G2187" t="s">
        <v>8672</v>
      </c>
      <c r="H2187" t="s">
        <v>8523</v>
      </c>
      <c r="L2187" t="s">
        <v>1279</v>
      </c>
      <c r="M2187" t="s">
        <v>8673</v>
      </c>
    </row>
    <row r="2188" spans="1:13" x14ac:dyDescent="0.25">
      <c r="A2188">
        <v>6734081</v>
      </c>
      <c r="B2188" t="s">
        <v>8674</v>
      </c>
      <c r="C2188" t="str">
        <f>""</f>
        <v/>
      </c>
      <c r="D2188" t="str">
        <f>"9782759233229"</f>
        <v>9782759233229</v>
      </c>
      <c r="E2188" t="s">
        <v>2434</v>
      </c>
      <c r="F2188" s="1">
        <v>25900</v>
      </c>
      <c r="G2188" t="s">
        <v>8675</v>
      </c>
      <c r="L2188" t="s">
        <v>1279</v>
      </c>
      <c r="M2188" t="s">
        <v>8676</v>
      </c>
    </row>
    <row r="2189" spans="1:13" x14ac:dyDescent="0.25">
      <c r="A2189">
        <v>6734087</v>
      </c>
      <c r="B2189" t="s">
        <v>8677</v>
      </c>
      <c r="C2189" t="str">
        <f>""</f>
        <v/>
      </c>
      <c r="D2189" t="str">
        <f>"9782759223459"</f>
        <v>9782759223459</v>
      </c>
      <c r="E2189" t="s">
        <v>2434</v>
      </c>
      <c r="F2189" s="1">
        <v>42150</v>
      </c>
      <c r="G2189" t="s">
        <v>8678</v>
      </c>
      <c r="H2189" t="s">
        <v>83</v>
      </c>
      <c r="L2189" t="s">
        <v>1279</v>
      </c>
      <c r="M2189" t="s">
        <v>8679</v>
      </c>
    </row>
    <row r="2190" spans="1:13" x14ac:dyDescent="0.25">
      <c r="A2190">
        <v>6734088</v>
      </c>
      <c r="B2190" t="s">
        <v>8680</v>
      </c>
      <c r="C2190" t="str">
        <f>""</f>
        <v/>
      </c>
      <c r="D2190" t="str">
        <f>"9782759232543"</f>
        <v>9782759232543</v>
      </c>
      <c r="E2190" t="s">
        <v>2434</v>
      </c>
      <c r="F2190" s="1">
        <v>43978</v>
      </c>
      <c r="G2190" t="s">
        <v>8627</v>
      </c>
      <c r="H2190" t="s">
        <v>4161</v>
      </c>
      <c r="L2190" t="s">
        <v>20</v>
      </c>
      <c r="M2190" t="s">
        <v>8681</v>
      </c>
    </row>
    <row r="2191" spans="1:13" x14ac:dyDescent="0.25">
      <c r="A2191">
        <v>6734099</v>
      </c>
      <c r="B2191" t="s">
        <v>8682</v>
      </c>
      <c r="C2191" t="str">
        <f>""</f>
        <v/>
      </c>
      <c r="D2191" t="str">
        <f>"9782759229604"</f>
        <v>9782759229604</v>
      </c>
      <c r="E2191" t="s">
        <v>2434</v>
      </c>
      <c r="F2191" s="1">
        <v>43423</v>
      </c>
      <c r="G2191" t="s">
        <v>3929</v>
      </c>
      <c r="H2191" t="s">
        <v>64</v>
      </c>
      <c r="L2191" t="s">
        <v>20</v>
      </c>
      <c r="M2191" t="s">
        <v>8683</v>
      </c>
    </row>
    <row r="2192" spans="1:13" x14ac:dyDescent="0.25">
      <c r="A2192">
        <v>6734100</v>
      </c>
      <c r="B2192" t="s">
        <v>8684</v>
      </c>
      <c r="C2192" t="str">
        <f>""</f>
        <v/>
      </c>
      <c r="D2192" t="str">
        <f>"9782759208838"</f>
        <v>9782759208838</v>
      </c>
      <c r="E2192" t="s">
        <v>2434</v>
      </c>
      <c r="F2192" s="1">
        <v>36161</v>
      </c>
      <c r="G2192" t="s">
        <v>8685</v>
      </c>
      <c r="H2192" t="s">
        <v>83</v>
      </c>
      <c r="L2192" t="s">
        <v>1279</v>
      </c>
      <c r="M2192" t="s">
        <v>8686</v>
      </c>
    </row>
    <row r="2193" spans="1:13" x14ac:dyDescent="0.25">
      <c r="A2193">
        <v>6734220</v>
      </c>
      <c r="B2193" t="s">
        <v>8687</v>
      </c>
      <c r="C2193" t="str">
        <f>""</f>
        <v/>
      </c>
      <c r="D2193" t="str">
        <f>"9782759231775"</f>
        <v>9782759231775</v>
      </c>
      <c r="E2193" t="s">
        <v>2434</v>
      </c>
      <c r="F2193" s="1">
        <v>44490</v>
      </c>
      <c r="G2193" t="s">
        <v>8688</v>
      </c>
      <c r="H2193" t="s">
        <v>5481</v>
      </c>
      <c r="L2193" t="s">
        <v>1279</v>
      </c>
      <c r="M2193" t="s">
        <v>8689</v>
      </c>
    </row>
    <row r="2194" spans="1:13" x14ac:dyDescent="0.25">
      <c r="A2194">
        <v>6734292</v>
      </c>
      <c r="B2194" t="s">
        <v>8690</v>
      </c>
      <c r="C2194" t="str">
        <f>"9788394426293"</f>
        <v>9788394426293</v>
      </c>
      <c r="D2194" t="str">
        <f>"9788394914912"</f>
        <v>9788394914912</v>
      </c>
      <c r="E2194" t="s">
        <v>2224</v>
      </c>
      <c r="F2194" s="1">
        <v>43312</v>
      </c>
      <c r="G2194" t="s">
        <v>8691</v>
      </c>
      <c r="H2194" t="s">
        <v>139</v>
      </c>
      <c r="J2194" t="s">
        <v>8692</v>
      </c>
      <c r="L2194" t="s">
        <v>20</v>
      </c>
      <c r="M2194" t="s">
        <v>8693</v>
      </c>
    </row>
    <row r="2195" spans="1:13" x14ac:dyDescent="0.25">
      <c r="A2195">
        <v>6734438</v>
      </c>
      <c r="B2195" t="s">
        <v>8694</v>
      </c>
      <c r="C2195" t="str">
        <f>"9783030822071"</f>
        <v>9783030822071</v>
      </c>
      <c r="D2195" t="str">
        <f>"9783030822088"</f>
        <v>9783030822088</v>
      </c>
      <c r="E2195" t="s">
        <v>2905</v>
      </c>
      <c r="F2195" s="1">
        <v>44466</v>
      </c>
      <c r="G2195" t="s">
        <v>8695</v>
      </c>
      <c r="H2195" t="s">
        <v>5236</v>
      </c>
      <c r="I2195" t="s">
        <v>6723</v>
      </c>
      <c r="L2195" t="s">
        <v>20</v>
      </c>
      <c r="M2195" t="s">
        <v>8696</v>
      </c>
    </row>
    <row r="2196" spans="1:13" x14ac:dyDescent="0.25">
      <c r="A2196">
        <v>6734874</v>
      </c>
      <c r="B2196" t="s">
        <v>8697</v>
      </c>
      <c r="C2196" t="str">
        <f>"9781789622324"</f>
        <v>9781789622324</v>
      </c>
      <c r="D2196" t="str">
        <f>"9781789622577"</f>
        <v>9781789622577</v>
      </c>
      <c r="E2196" t="s">
        <v>4290</v>
      </c>
      <c r="F2196" s="1">
        <v>44135</v>
      </c>
      <c r="G2196" t="s">
        <v>8698</v>
      </c>
      <c r="H2196" t="s">
        <v>1753</v>
      </c>
      <c r="J2196">
        <v>380.14409427499999</v>
      </c>
      <c r="L2196" t="s">
        <v>20</v>
      </c>
      <c r="M2196" t="s">
        <v>8699</v>
      </c>
    </row>
    <row r="2197" spans="1:13" x14ac:dyDescent="0.25">
      <c r="A2197">
        <v>6734877</v>
      </c>
      <c r="B2197" t="s">
        <v>8700</v>
      </c>
      <c r="C2197" t="str">
        <f>"9781789621082"</f>
        <v>9781789621082</v>
      </c>
      <c r="D2197" t="str">
        <f>"9781789627404"</f>
        <v>9781789627404</v>
      </c>
      <c r="E2197" t="s">
        <v>4290</v>
      </c>
      <c r="F2197" s="1">
        <v>44047</v>
      </c>
      <c r="G2197" t="s">
        <v>8701</v>
      </c>
      <c r="H2197" t="s">
        <v>64</v>
      </c>
      <c r="J2197">
        <v>363.58509427529998</v>
      </c>
      <c r="L2197" t="s">
        <v>20</v>
      </c>
      <c r="M2197" t="s">
        <v>8702</v>
      </c>
    </row>
    <row r="2198" spans="1:13" x14ac:dyDescent="0.25">
      <c r="A2198">
        <v>6734878</v>
      </c>
      <c r="B2198" t="s">
        <v>8703</v>
      </c>
      <c r="C2198" t="str">
        <f>"9781800859517"</f>
        <v>9781800859517</v>
      </c>
      <c r="D2198" t="str">
        <f>"9781800858626"</f>
        <v>9781800858626</v>
      </c>
      <c r="E2198" t="s">
        <v>4290</v>
      </c>
      <c r="F2198" s="1">
        <v>44315</v>
      </c>
      <c r="G2198" t="s">
        <v>8704</v>
      </c>
      <c r="H2198" t="s">
        <v>246</v>
      </c>
      <c r="J2198">
        <v>792.09418349999999</v>
      </c>
      <c r="L2198" t="s">
        <v>20</v>
      </c>
      <c r="M2198" t="s">
        <v>8705</v>
      </c>
    </row>
    <row r="2199" spans="1:13" x14ac:dyDescent="0.25">
      <c r="A2199">
        <v>6734879</v>
      </c>
      <c r="B2199" t="s">
        <v>8706</v>
      </c>
      <c r="C2199" t="str">
        <f>"9781789622249"</f>
        <v>9781789622249</v>
      </c>
      <c r="D2199" t="str">
        <f>"9781789622584"</f>
        <v>9781789622584</v>
      </c>
      <c r="E2199" t="s">
        <v>4290</v>
      </c>
      <c r="F2199" s="1">
        <v>44077</v>
      </c>
      <c r="G2199" t="s">
        <v>8707</v>
      </c>
      <c r="H2199" t="s">
        <v>139</v>
      </c>
      <c r="J2199">
        <v>976.33500000000004</v>
      </c>
      <c r="L2199" t="s">
        <v>20</v>
      </c>
      <c r="M2199" t="s">
        <v>8708</v>
      </c>
    </row>
    <row r="2200" spans="1:13" x14ac:dyDescent="0.25">
      <c r="A2200">
        <v>6735989</v>
      </c>
      <c r="B2200" t="s">
        <v>8709</v>
      </c>
      <c r="C2200" t="str">
        <f>"9783030757960"</f>
        <v>9783030757960</v>
      </c>
      <c r="D2200" t="str">
        <f>"9783030757977"</f>
        <v>9783030757977</v>
      </c>
      <c r="E2200" t="s">
        <v>2905</v>
      </c>
      <c r="F2200" s="1">
        <v>44467</v>
      </c>
      <c r="G2200" t="s">
        <v>8710</v>
      </c>
      <c r="H2200" t="s">
        <v>310</v>
      </c>
      <c r="I2200" t="s">
        <v>8711</v>
      </c>
      <c r="J2200">
        <v>231.5</v>
      </c>
      <c r="L2200" t="s">
        <v>20</v>
      </c>
      <c r="M2200" t="s">
        <v>8712</v>
      </c>
    </row>
    <row r="2201" spans="1:13" x14ac:dyDescent="0.25">
      <c r="A2201">
        <v>6736371</v>
      </c>
      <c r="B2201" t="s">
        <v>8713</v>
      </c>
      <c r="C2201" t="str">
        <f>"9783030778378"</f>
        <v>9783030778378</v>
      </c>
      <c r="D2201" t="str">
        <f>"9783030778385"</f>
        <v>9783030778385</v>
      </c>
      <c r="E2201" t="s">
        <v>2905</v>
      </c>
      <c r="F2201" s="1">
        <v>44468</v>
      </c>
      <c r="G2201" t="s">
        <v>8714</v>
      </c>
      <c r="H2201" t="s">
        <v>712</v>
      </c>
      <c r="I2201" t="s">
        <v>5272</v>
      </c>
      <c r="L2201" t="s">
        <v>20</v>
      </c>
      <c r="M2201" t="s">
        <v>8715</v>
      </c>
    </row>
    <row r="2202" spans="1:13" x14ac:dyDescent="0.25">
      <c r="A2202">
        <v>6736742</v>
      </c>
      <c r="B2202" t="s">
        <v>8716</v>
      </c>
      <c r="C2202" t="str">
        <f>"9781800642614"</f>
        <v>9781800642614</v>
      </c>
      <c r="D2202" t="str">
        <f>"9781800642621"</f>
        <v>9781800642621</v>
      </c>
      <c r="E2202" t="s">
        <v>2270</v>
      </c>
      <c r="F2202" s="1">
        <v>44467</v>
      </c>
      <c r="G2202" t="s">
        <v>8717</v>
      </c>
      <c r="H2202" t="s">
        <v>8718</v>
      </c>
      <c r="I2202" t="s">
        <v>8719</v>
      </c>
      <c r="J2202">
        <v>363.73874000000001</v>
      </c>
      <c r="K2202" t="s">
        <v>8720</v>
      </c>
      <c r="L2202" t="s">
        <v>20</v>
      </c>
      <c r="M2202" t="s">
        <v>8721</v>
      </c>
    </row>
    <row r="2203" spans="1:13" x14ac:dyDescent="0.25">
      <c r="A2203">
        <v>6736833</v>
      </c>
      <c r="B2203" t="s">
        <v>8722</v>
      </c>
      <c r="C2203" t="str">
        <f>"9789811653902"</f>
        <v>9789811653902</v>
      </c>
      <c r="D2203" t="str">
        <f>"9789811653919"</f>
        <v>9789811653919</v>
      </c>
      <c r="E2203" t="s">
        <v>4099</v>
      </c>
      <c r="F2203" s="1">
        <v>44468</v>
      </c>
      <c r="G2203" t="s">
        <v>8723</v>
      </c>
      <c r="H2203" t="s">
        <v>30</v>
      </c>
      <c r="I2203" t="s">
        <v>4734</v>
      </c>
      <c r="L2203" t="s">
        <v>20</v>
      </c>
      <c r="M2203" t="s">
        <v>8724</v>
      </c>
    </row>
    <row r="2204" spans="1:13" x14ac:dyDescent="0.25">
      <c r="A2204">
        <v>6737898</v>
      </c>
      <c r="B2204" t="s">
        <v>8725</v>
      </c>
      <c r="C2204" t="str">
        <f>"9782759232840"</f>
        <v>9782759232840</v>
      </c>
      <c r="D2204" t="str">
        <f>"9782759232864"</f>
        <v>9782759232864</v>
      </c>
      <c r="E2204" t="s">
        <v>2434</v>
      </c>
      <c r="F2204" s="1">
        <v>44470</v>
      </c>
      <c r="G2204" t="s">
        <v>8726</v>
      </c>
      <c r="H2204" t="s">
        <v>8727</v>
      </c>
      <c r="L2204" t="s">
        <v>20</v>
      </c>
      <c r="M2204" t="s">
        <v>8728</v>
      </c>
    </row>
    <row r="2205" spans="1:13" x14ac:dyDescent="0.25">
      <c r="A2205">
        <v>6737997</v>
      </c>
      <c r="B2205" t="s">
        <v>8729</v>
      </c>
      <c r="C2205" t="str">
        <f>"9789811640667"</f>
        <v>9789811640667</v>
      </c>
      <c r="D2205" t="str">
        <f>"9789811640674"</f>
        <v>9789811640674</v>
      </c>
      <c r="E2205" t="s">
        <v>4099</v>
      </c>
      <c r="F2205" s="1">
        <v>44469</v>
      </c>
      <c r="G2205" t="s">
        <v>8730</v>
      </c>
      <c r="H2205" t="s">
        <v>8731</v>
      </c>
      <c r="I2205" t="s">
        <v>4239</v>
      </c>
      <c r="L2205" t="s">
        <v>20</v>
      </c>
      <c r="M2205" t="s">
        <v>8732</v>
      </c>
    </row>
    <row r="2206" spans="1:13" x14ac:dyDescent="0.25">
      <c r="A2206">
        <v>6738886</v>
      </c>
      <c r="B2206" t="s">
        <v>8733</v>
      </c>
      <c r="C2206" t="str">
        <f>"9783030788841"</f>
        <v>9783030788841</v>
      </c>
      <c r="D2206" t="str">
        <f>"9783030788858"</f>
        <v>9783030788858</v>
      </c>
      <c r="E2206" t="s">
        <v>2905</v>
      </c>
      <c r="F2206" s="1">
        <v>44470</v>
      </c>
      <c r="G2206" t="s">
        <v>8734</v>
      </c>
      <c r="H2206" t="s">
        <v>4451</v>
      </c>
      <c r="I2206" t="s">
        <v>8735</v>
      </c>
      <c r="J2206">
        <v>370.1</v>
      </c>
      <c r="L2206" t="s">
        <v>20</v>
      </c>
      <c r="M2206" t="s">
        <v>8736</v>
      </c>
    </row>
    <row r="2207" spans="1:13" x14ac:dyDescent="0.25">
      <c r="A2207">
        <v>6738887</v>
      </c>
      <c r="B2207" t="s">
        <v>8737</v>
      </c>
      <c r="C2207" t="str">
        <f>"9783030768362"</f>
        <v>9783030768362</v>
      </c>
      <c r="D2207" t="str">
        <f>"9783030768379"</f>
        <v>9783030768379</v>
      </c>
      <c r="E2207" t="s">
        <v>2905</v>
      </c>
      <c r="F2207" s="1">
        <v>44470</v>
      </c>
      <c r="G2207" t="s">
        <v>8738</v>
      </c>
      <c r="H2207" t="s">
        <v>363</v>
      </c>
      <c r="I2207" t="s">
        <v>6581</v>
      </c>
      <c r="L2207" t="s">
        <v>20</v>
      </c>
      <c r="M2207" t="s">
        <v>8739</v>
      </c>
    </row>
    <row r="2208" spans="1:13" x14ac:dyDescent="0.25">
      <c r="A2208">
        <v>6739189</v>
      </c>
      <c r="B2208" t="s">
        <v>8740</v>
      </c>
      <c r="C2208" t="str">
        <f>"9783030839437"</f>
        <v>9783030839437</v>
      </c>
      <c r="D2208" t="str">
        <f>"9783030839444"</f>
        <v>9783030839444</v>
      </c>
      <c r="E2208" t="s">
        <v>2905</v>
      </c>
      <c r="F2208" s="1">
        <v>44471</v>
      </c>
      <c r="G2208" t="s">
        <v>8741</v>
      </c>
      <c r="H2208" t="s">
        <v>712</v>
      </c>
      <c r="I2208" t="s">
        <v>5276</v>
      </c>
      <c r="L2208" t="s">
        <v>20</v>
      </c>
      <c r="M2208" t="s">
        <v>8742</v>
      </c>
    </row>
    <row r="2209" spans="1:13" x14ac:dyDescent="0.25">
      <c r="A2209">
        <v>6739190</v>
      </c>
      <c r="B2209" t="s">
        <v>8743</v>
      </c>
      <c r="C2209" t="str">
        <f>"9783030802332"</f>
        <v>9783030802332</v>
      </c>
      <c r="D2209" t="str">
        <f>"9783030802349"</f>
        <v>9783030802349</v>
      </c>
      <c r="E2209" t="s">
        <v>2905</v>
      </c>
      <c r="F2209" s="1">
        <v>44471</v>
      </c>
      <c r="G2209" t="s">
        <v>8744</v>
      </c>
      <c r="H2209" t="s">
        <v>3480</v>
      </c>
      <c r="I2209" t="s">
        <v>8745</v>
      </c>
      <c r="L2209" t="s">
        <v>20</v>
      </c>
      <c r="M2209" t="s">
        <v>8746</v>
      </c>
    </row>
    <row r="2210" spans="1:13" x14ac:dyDescent="0.25">
      <c r="A2210">
        <v>6739191</v>
      </c>
      <c r="B2210" t="s">
        <v>8747</v>
      </c>
      <c r="C2210" t="str">
        <f>"9783030744427"</f>
        <v>9783030744427</v>
      </c>
      <c r="D2210" t="str">
        <f>"9783030744434"</f>
        <v>9783030744434</v>
      </c>
      <c r="E2210" t="s">
        <v>2905</v>
      </c>
      <c r="F2210" s="1">
        <v>44474</v>
      </c>
      <c r="G2210" t="s">
        <v>8748</v>
      </c>
      <c r="H2210" t="s">
        <v>70</v>
      </c>
      <c r="I2210" t="s">
        <v>8749</v>
      </c>
      <c r="J2210">
        <v>809.93356100000005</v>
      </c>
      <c r="L2210" t="s">
        <v>20</v>
      </c>
      <c r="M2210" t="s">
        <v>8750</v>
      </c>
    </row>
    <row r="2211" spans="1:13" x14ac:dyDescent="0.25">
      <c r="A2211">
        <v>6741290</v>
      </c>
      <c r="B2211" t="s">
        <v>8751</v>
      </c>
      <c r="C2211" t="str">
        <f>"9783658339807"</f>
        <v>9783658339807</v>
      </c>
      <c r="D2211" t="str">
        <f>"9783658339814"</f>
        <v>9783658339814</v>
      </c>
      <c r="E2211" t="s">
        <v>4472</v>
      </c>
      <c r="F2211" s="1">
        <v>44453</v>
      </c>
      <c r="G2211" t="s">
        <v>8752</v>
      </c>
      <c r="H2211" t="s">
        <v>1178</v>
      </c>
      <c r="I2211" t="s">
        <v>4478</v>
      </c>
      <c r="L2211" t="s">
        <v>291</v>
      </c>
      <c r="M2211" t="s">
        <v>8753</v>
      </c>
    </row>
    <row r="2212" spans="1:13" x14ac:dyDescent="0.25">
      <c r="A2212">
        <v>6743487</v>
      </c>
      <c r="B2212" t="s">
        <v>8754</v>
      </c>
      <c r="C2212" t="str">
        <f>"9780939512980"</f>
        <v>9780939512980</v>
      </c>
      <c r="D2212" t="str">
        <f>"9780472902002"</f>
        <v>9780472902002</v>
      </c>
      <c r="E2212" t="s">
        <v>7076</v>
      </c>
      <c r="F2212" s="1">
        <v>36602</v>
      </c>
      <c r="G2212" t="s">
        <v>8755</v>
      </c>
      <c r="H2212" t="s">
        <v>70</v>
      </c>
      <c r="I2212" t="s">
        <v>8756</v>
      </c>
      <c r="J2212" t="s">
        <v>8757</v>
      </c>
      <c r="L2212" t="s">
        <v>20</v>
      </c>
      <c r="M2212" t="s">
        <v>8758</v>
      </c>
    </row>
    <row r="2213" spans="1:13" x14ac:dyDescent="0.25">
      <c r="A2213">
        <v>6743488</v>
      </c>
      <c r="B2213" t="s">
        <v>8759</v>
      </c>
      <c r="C2213" t="str">
        <f>"9780892641253"</f>
        <v>9780892641253</v>
      </c>
      <c r="D2213" t="str">
        <f>"9780472901517"</f>
        <v>9780472901517</v>
      </c>
      <c r="E2213" t="s">
        <v>7091</v>
      </c>
      <c r="F2213" s="1">
        <v>35796</v>
      </c>
      <c r="G2213" t="s">
        <v>8760</v>
      </c>
      <c r="H2213" t="s">
        <v>70</v>
      </c>
      <c r="I2213" t="s">
        <v>8761</v>
      </c>
      <c r="J2213" t="s">
        <v>8762</v>
      </c>
      <c r="L2213" t="s">
        <v>20</v>
      </c>
      <c r="M2213" t="s">
        <v>8763</v>
      </c>
    </row>
    <row r="2214" spans="1:13" x14ac:dyDescent="0.25">
      <c r="A2214">
        <v>6743489</v>
      </c>
      <c r="B2214" t="s">
        <v>8764</v>
      </c>
      <c r="C2214" t="str">
        <f>"9780892641116"</f>
        <v>9780892641116</v>
      </c>
      <c r="D2214" t="str">
        <f>"9780472901449"</f>
        <v>9780472901449</v>
      </c>
      <c r="E2214" t="s">
        <v>7091</v>
      </c>
      <c r="F2214" s="1">
        <v>35431</v>
      </c>
      <c r="G2214" t="s">
        <v>8765</v>
      </c>
      <c r="H2214" t="s">
        <v>70</v>
      </c>
      <c r="I2214" t="s">
        <v>8766</v>
      </c>
      <c r="J2214">
        <v>895.11220900000001</v>
      </c>
      <c r="L2214" t="s">
        <v>20</v>
      </c>
      <c r="M2214" t="s">
        <v>8767</v>
      </c>
    </row>
    <row r="2215" spans="1:13" x14ac:dyDescent="0.25">
      <c r="A2215">
        <v>6743490</v>
      </c>
      <c r="B2215" t="s">
        <v>8768</v>
      </c>
      <c r="C2215" t="str">
        <f>"9780892640133"</f>
        <v>9780892640133</v>
      </c>
      <c r="D2215" t="str">
        <f>"9780472901364"</f>
        <v>9780472901364</v>
      </c>
      <c r="E2215" t="s">
        <v>7091</v>
      </c>
      <c r="F2215" s="1">
        <v>29616</v>
      </c>
      <c r="G2215" t="s">
        <v>8769</v>
      </c>
      <c r="H2215" t="s">
        <v>743</v>
      </c>
      <c r="L2215" t="s">
        <v>20</v>
      </c>
      <c r="M2215" t="s">
        <v>8770</v>
      </c>
    </row>
    <row r="2216" spans="1:13" x14ac:dyDescent="0.25">
      <c r="A2216">
        <v>6743491</v>
      </c>
      <c r="B2216" t="s">
        <v>8771</v>
      </c>
      <c r="C2216" t="str">
        <f>"9781929280070"</f>
        <v>9781929280070</v>
      </c>
      <c r="D2216" t="str">
        <f>"9780472902026"</f>
        <v>9780472902026</v>
      </c>
      <c r="E2216" t="s">
        <v>7076</v>
      </c>
      <c r="F2216" s="1">
        <v>37257</v>
      </c>
      <c r="G2216" t="s">
        <v>8772</v>
      </c>
      <c r="H2216" t="s">
        <v>70</v>
      </c>
      <c r="I2216" t="s">
        <v>8773</v>
      </c>
      <c r="J2216" t="s">
        <v>8774</v>
      </c>
      <c r="L2216" t="s">
        <v>20</v>
      </c>
      <c r="M2216" t="s">
        <v>8775</v>
      </c>
    </row>
    <row r="2217" spans="1:13" x14ac:dyDescent="0.25">
      <c r="A2217">
        <v>6743492</v>
      </c>
      <c r="B2217" t="s">
        <v>8776</v>
      </c>
      <c r="C2217" t="str">
        <f>"9780892640553"</f>
        <v>9780892640553</v>
      </c>
      <c r="D2217" t="str">
        <f>"9780472901746"</f>
        <v>9780472901746</v>
      </c>
      <c r="E2217" t="s">
        <v>7091</v>
      </c>
      <c r="F2217" s="1">
        <v>29587</v>
      </c>
      <c r="G2217" t="s">
        <v>8777</v>
      </c>
      <c r="H2217" t="s">
        <v>30</v>
      </c>
      <c r="I2217" t="s">
        <v>8778</v>
      </c>
      <c r="J2217" t="s">
        <v>8779</v>
      </c>
      <c r="L2217" t="s">
        <v>20</v>
      </c>
      <c r="M2217" t="s">
        <v>8780</v>
      </c>
    </row>
    <row r="2218" spans="1:13" x14ac:dyDescent="0.25">
      <c r="A2218">
        <v>6743494</v>
      </c>
      <c r="B2218" t="s">
        <v>8781</v>
      </c>
      <c r="C2218" t="str">
        <f>"9780939512065"</f>
        <v>9780939512065</v>
      </c>
      <c r="D2218" t="str">
        <f>"9780472901982"</f>
        <v>9780472901982</v>
      </c>
      <c r="E2218" t="s">
        <v>7076</v>
      </c>
      <c r="F2218" s="1">
        <v>29952</v>
      </c>
      <c r="G2218" t="s">
        <v>8782</v>
      </c>
      <c r="H2218" t="s">
        <v>30</v>
      </c>
      <c r="I2218" t="s">
        <v>8783</v>
      </c>
      <c r="L2218" t="s">
        <v>20</v>
      </c>
      <c r="M2218" t="s">
        <v>8784</v>
      </c>
    </row>
    <row r="2219" spans="1:13" x14ac:dyDescent="0.25">
      <c r="A2219">
        <v>6743495</v>
      </c>
      <c r="B2219" t="s">
        <v>8785</v>
      </c>
      <c r="C2219" t="str">
        <f>"9780891480525"</f>
        <v>9780891480525</v>
      </c>
      <c r="D2219" t="str">
        <f>"9780472901708"</f>
        <v>9780472901708</v>
      </c>
      <c r="E2219" t="s">
        <v>7081</v>
      </c>
      <c r="F2219" s="1">
        <v>27395</v>
      </c>
      <c r="G2219" t="s">
        <v>8786</v>
      </c>
      <c r="H2219" t="s">
        <v>851</v>
      </c>
      <c r="I2219" t="s">
        <v>8787</v>
      </c>
      <c r="L2219" t="s">
        <v>20</v>
      </c>
      <c r="M2219" t="s">
        <v>8788</v>
      </c>
    </row>
    <row r="2220" spans="1:13" x14ac:dyDescent="0.25">
      <c r="A2220">
        <v>6743496</v>
      </c>
      <c r="B2220" t="s">
        <v>8789</v>
      </c>
      <c r="C2220" t="str">
        <f>"9780892640362"</f>
        <v>9780892640362</v>
      </c>
      <c r="D2220" t="str">
        <f>"9780472901814"</f>
        <v>9780472901814</v>
      </c>
      <c r="E2220" t="s">
        <v>7091</v>
      </c>
      <c r="F2220" s="1">
        <v>28856</v>
      </c>
      <c r="G2220" t="s">
        <v>8790</v>
      </c>
      <c r="H2220" t="s">
        <v>139</v>
      </c>
      <c r="I2220" t="s">
        <v>8791</v>
      </c>
      <c r="L2220" t="s">
        <v>20</v>
      </c>
      <c r="M2220" t="s">
        <v>8792</v>
      </c>
    </row>
    <row r="2221" spans="1:13" x14ac:dyDescent="0.25">
      <c r="A2221">
        <v>6743497</v>
      </c>
      <c r="B2221" t="s">
        <v>8793</v>
      </c>
      <c r="C2221" t="str">
        <f>"9780892640300"</f>
        <v>9780892640300</v>
      </c>
      <c r="D2221" t="str">
        <f>"9780472901388"</f>
        <v>9780472901388</v>
      </c>
      <c r="E2221" t="s">
        <v>7091</v>
      </c>
      <c r="F2221" s="1">
        <v>28126</v>
      </c>
      <c r="G2221" t="s">
        <v>8794</v>
      </c>
      <c r="H2221" t="s">
        <v>310</v>
      </c>
      <c r="I2221" t="s">
        <v>7118</v>
      </c>
      <c r="L2221" t="s">
        <v>20</v>
      </c>
      <c r="M2221" t="s">
        <v>8795</v>
      </c>
    </row>
    <row r="2222" spans="1:13" x14ac:dyDescent="0.25">
      <c r="A2222">
        <v>6743498</v>
      </c>
      <c r="B2222" t="s">
        <v>8796</v>
      </c>
      <c r="C2222" t="str">
        <f>"9780892640348"</f>
        <v>9780892640348</v>
      </c>
      <c r="D2222" t="str">
        <f>"9780472901531"</f>
        <v>9780472901531</v>
      </c>
      <c r="E2222" t="s">
        <v>7091</v>
      </c>
      <c r="F2222" s="1">
        <v>28491</v>
      </c>
      <c r="G2222" t="s">
        <v>8797</v>
      </c>
      <c r="H2222" t="s">
        <v>139</v>
      </c>
      <c r="I2222" t="s">
        <v>8798</v>
      </c>
      <c r="J2222">
        <v>951.02599999999995</v>
      </c>
      <c r="L2222" t="s">
        <v>20</v>
      </c>
      <c r="M2222" t="s">
        <v>8799</v>
      </c>
    </row>
    <row r="2223" spans="1:13" x14ac:dyDescent="0.25">
      <c r="A2223">
        <v>6743500</v>
      </c>
      <c r="B2223" t="s">
        <v>8800</v>
      </c>
      <c r="C2223" t="str">
        <f>"9780939512430"</f>
        <v>9780939512430</v>
      </c>
      <c r="D2223" t="str">
        <f>"9780472901579"</f>
        <v>9780472901579</v>
      </c>
      <c r="E2223" t="s">
        <v>7076</v>
      </c>
      <c r="F2223" s="1">
        <v>33604</v>
      </c>
      <c r="G2223" t="s">
        <v>8801</v>
      </c>
      <c r="H2223" t="s">
        <v>70</v>
      </c>
      <c r="I2223" t="s">
        <v>8802</v>
      </c>
      <c r="J2223">
        <v>895.61239999999998</v>
      </c>
      <c r="L2223" t="s">
        <v>20</v>
      </c>
      <c r="M2223" t="s">
        <v>8803</v>
      </c>
    </row>
    <row r="2224" spans="1:13" x14ac:dyDescent="0.25">
      <c r="A2224">
        <v>6743501</v>
      </c>
      <c r="B2224" t="s">
        <v>8804</v>
      </c>
      <c r="C2224" t="str">
        <f>"9781929280124"</f>
        <v>9781929280124</v>
      </c>
      <c r="D2224" t="str">
        <f>"9780472901425"</f>
        <v>9780472901425</v>
      </c>
      <c r="E2224" t="s">
        <v>7076</v>
      </c>
      <c r="F2224" s="1">
        <v>37257</v>
      </c>
      <c r="G2224" t="s">
        <v>8805</v>
      </c>
      <c r="H2224" t="s">
        <v>70</v>
      </c>
      <c r="I2224" t="s">
        <v>8806</v>
      </c>
      <c r="J2224">
        <v>895.60900419999996</v>
      </c>
      <c r="L2224" t="s">
        <v>20</v>
      </c>
      <c r="M2224" t="s">
        <v>8807</v>
      </c>
    </row>
    <row r="2225" spans="1:13" x14ac:dyDescent="0.25">
      <c r="A2225">
        <v>6743502</v>
      </c>
      <c r="B2225" t="s">
        <v>8808</v>
      </c>
      <c r="C2225" t="str">
        <f>"9781929280629"</f>
        <v>9781929280629</v>
      </c>
      <c r="D2225" t="str">
        <f>"9780472901623"</f>
        <v>9780472901623</v>
      </c>
      <c r="E2225" t="s">
        <v>7076</v>
      </c>
      <c r="F2225" s="1">
        <v>40186</v>
      </c>
      <c r="G2225" t="s">
        <v>8809</v>
      </c>
      <c r="H2225" t="s">
        <v>246</v>
      </c>
      <c r="I2225" t="s">
        <v>8810</v>
      </c>
      <c r="J2225">
        <v>709.2</v>
      </c>
      <c r="L2225" t="s">
        <v>20</v>
      </c>
      <c r="M2225" t="s">
        <v>8811</v>
      </c>
    </row>
    <row r="2226" spans="1:13" x14ac:dyDescent="0.25">
      <c r="A2226">
        <v>6743503</v>
      </c>
      <c r="B2226" t="s">
        <v>8812</v>
      </c>
      <c r="C2226" t="str">
        <f>"9780472038428"</f>
        <v>9780472038428</v>
      </c>
      <c r="D2226" t="str">
        <f>"9780472902255"</f>
        <v>9780472902255</v>
      </c>
      <c r="E2226" t="s">
        <v>7081</v>
      </c>
      <c r="F2226" s="1">
        <v>44215</v>
      </c>
      <c r="G2226" t="s">
        <v>8813</v>
      </c>
      <c r="H2226" t="s">
        <v>64</v>
      </c>
      <c r="J2226" t="s">
        <v>8814</v>
      </c>
      <c r="L2226" t="s">
        <v>20</v>
      </c>
      <c r="M2226" t="s">
        <v>8815</v>
      </c>
    </row>
    <row r="2227" spans="1:13" x14ac:dyDescent="0.25">
      <c r="A2227">
        <v>6743504</v>
      </c>
      <c r="B2227" t="s">
        <v>8816</v>
      </c>
      <c r="C2227" t="str">
        <f>"9780891480044"</f>
        <v>9780891480044</v>
      </c>
      <c r="D2227" t="str">
        <f>"9780472902323"</f>
        <v>9780472902323</v>
      </c>
      <c r="E2227" t="s">
        <v>7081</v>
      </c>
      <c r="F2227" s="1">
        <v>25934</v>
      </c>
      <c r="G2227" t="s">
        <v>8817</v>
      </c>
      <c r="H2227" t="s">
        <v>2293</v>
      </c>
      <c r="L2227" t="s">
        <v>20</v>
      </c>
      <c r="M2227" t="s">
        <v>8818</v>
      </c>
    </row>
    <row r="2228" spans="1:13" x14ac:dyDescent="0.25">
      <c r="A2228">
        <v>6743505</v>
      </c>
      <c r="B2228" t="s">
        <v>8819</v>
      </c>
      <c r="C2228" t="str">
        <f>"9780939512614"</f>
        <v>9780939512614</v>
      </c>
      <c r="D2228" t="str">
        <f>"9780472902118"</f>
        <v>9780472902118</v>
      </c>
      <c r="E2228" t="s">
        <v>7076</v>
      </c>
      <c r="F2228" s="1">
        <v>33970</v>
      </c>
      <c r="G2228" t="s">
        <v>8820</v>
      </c>
      <c r="H2228" t="s">
        <v>70</v>
      </c>
      <c r="I2228" t="s">
        <v>8821</v>
      </c>
      <c r="J2228" t="s">
        <v>8822</v>
      </c>
      <c r="L2228" t="s">
        <v>20</v>
      </c>
      <c r="M2228" t="s">
        <v>8823</v>
      </c>
    </row>
    <row r="2229" spans="1:13" x14ac:dyDescent="0.25">
      <c r="A2229">
        <v>6743506</v>
      </c>
      <c r="B2229" t="s">
        <v>8824</v>
      </c>
      <c r="C2229" t="str">
        <f>"9780892640492"</f>
        <v>9780892640492</v>
      </c>
      <c r="D2229" t="str">
        <f>"9780472902248"</f>
        <v>9780472902248</v>
      </c>
      <c r="E2229" t="s">
        <v>7091</v>
      </c>
      <c r="F2229" s="1">
        <v>30317</v>
      </c>
      <c r="G2229" t="s">
        <v>7131</v>
      </c>
      <c r="H2229" t="s">
        <v>512</v>
      </c>
      <c r="I2229" t="s">
        <v>8825</v>
      </c>
      <c r="J2229">
        <v>335.43095099999999</v>
      </c>
      <c r="L2229" t="s">
        <v>20</v>
      </c>
      <c r="M2229" t="s">
        <v>8826</v>
      </c>
    </row>
    <row r="2230" spans="1:13" x14ac:dyDescent="0.25">
      <c r="A2230">
        <v>6743507</v>
      </c>
      <c r="B2230" t="s">
        <v>8827</v>
      </c>
      <c r="C2230" t="str">
        <f>"9780892641154"</f>
        <v>9780892641154</v>
      </c>
      <c r="D2230" t="str">
        <f>"9780472901463"</f>
        <v>9780472901463</v>
      </c>
      <c r="E2230" t="s">
        <v>7091</v>
      </c>
      <c r="F2230" s="1">
        <v>35065</v>
      </c>
      <c r="G2230" t="s">
        <v>8828</v>
      </c>
      <c r="H2230" t="s">
        <v>169</v>
      </c>
      <c r="I2230" t="s">
        <v>8829</v>
      </c>
      <c r="J2230">
        <v>338.95100000000002</v>
      </c>
      <c r="L2230" t="s">
        <v>20</v>
      </c>
      <c r="M2230" t="s">
        <v>8830</v>
      </c>
    </row>
    <row r="2231" spans="1:13" x14ac:dyDescent="0.25">
      <c r="A2231">
        <v>6743508</v>
      </c>
      <c r="B2231" t="s">
        <v>8831</v>
      </c>
      <c r="C2231" t="str">
        <f>"9780892640102"</f>
        <v>9780892640102</v>
      </c>
      <c r="D2231" t="str">
        <f>"9780472901555"</f>
        <v>9780472901555</v>
      </c>
      <c r="E2231" t="s">
        <v>7091</v>
      </c>
      <c r="F2231" s="1">
        <v>29616</v>
      </c>
      <c r="G2231" t="s">
        <v>8832</v>
      </c>
      <c r="H2231" t="s">
        <v>363</v>
      </c>
      <c r="I2231" t="s">
        <v>8833</v>
      </c>
      <c r="J2231">
        <v>378.19809509999999</v>
      </c>
      <c r="L2231" t="s">
        <v>20</v>
      </c>
      <c r="M2231" t="s">
        <v>8834</v>
      </c>
    </row>
    <row r="2232" spans="1:13" x14ac:dyDescent="0.25">
      <c r="A2232">
        <v>6743509</v>
      </c>
      <c r="B2232" t="s">
        <v>8835</v>
      </c>
      <c r="C2232" t="str">
        <f>"9780892640324"</f>
        <v>9780892640324</v>
      </c>
      <c r="D2232" t="str">
        <f>"9780472901807"</f>
        <v>9780472901807</v>
      </c>
      <c r="E2232" t="s">
        <v>7091</v>
      </c>
      <c r="F2232" s="1">
        <v>28522</v>
      </c>
      <c r="G2232" t="s">
        <v>8836</v>
      </c>
      <c r="H2232" t="s">
        <v>1229</v>
      </c>
      <c r="I2232" t="s">
        <v>8837</v>
      </c>
      <c r="J2232">
        <v>951.13205600000003</v>
      </c>
      <c r="L2232" t="s">
        <v>20</v>
      </c>
      <c r="M2232" t="s">
        <v>8838</v>
      </c>
    </row>
    <row r="2233" spans="1:13" x14ac:dyDescent="0.25">
      <c r="A2233">
        <v>6743510</v>
      </c>
      <c r="B2233" t="s">
        <v>8839</v>
      </c>
      <c r="C2233" t="str">
        <f>"9780939512171"</f>
        <v>9780939512171</v>
      </c>
      <c r="D2233" t="str">
        <f>"9780472901999"</f>
        <v>9780472901999</v>
      </c>
      <c r="E2233" t="s">
        <v>7076</v>
      </c>
      <c r="F2233" s="1">
        <v>30682</v>
      </c>
      <c r="G2233" t="s">
        <v>8840</v>
      </c>
      <c r="H2233" t="s">
        <v>64</v>
      </c>
      <c r="I2233" t="s">
        <v>8841</v>
      </c>
      <c r="J2233" t="s">
        <v>8842</v>
      </c>
      <c r="L2233" t="s">
        <v>20</v>
      </c>
      <c r="M2233" t="s">
        <v>8843</v>
      </c>
    </row>
    <row r="2234" spans="1:13" x14ac:dyDescent="0.25">
      <c r="A2234">
        <v>6743511</v>
      </c>
      <c r="B2234" t="s">
        <v>8844</v>
      </c>
      <c r="C2234" t="str">
        <f>"9780939512287"</f>
        <v>9780939512287</v>
      </c>
      <c r="D2234" t="str">
        <f>"9780472902057"</f>
        <v>9780472902057</v>
      </c>
      <c r="E2234" t="s">
        <v>7076</v>
      </c>
      <c r="F2234" s="1">
        <v>30682</v>
      </c>
      <c r="G2234" t="s">
        <v>8845</v>
      </c>
      <c r="H2234" t="s">
        <v>780</v>
      </c>
      <c r="L2234" t="s">
        <v>20</v>
      </c>
      <c r="M2234" t="s">
        <v>8846</v>
      </c>
    </row>
    <row r="2235" spans="1:13" x14ac:dyDescent="0.25">
      <c r="A2235">
        <v>6743512</v>
      </c>
      <c r="B2235" t="s">
        <v>8847</v>
      </c>
      <c r="C2235" t="str">
        <f>"9780939512409"</f>
        <v>9780939512409</v>
      </c>
      <c r="D2235" t="str">
        <f>"9780472902071"</f>
        <v>9780472902071</v>
      </c>
      <c r="E2235" t="s">
        <v>7076</v>
      </c>
      <c r="F2235" s="1">
        <v>32874</v>
      </c>
      <c r="G2235" t="s">
        <v>8848</v>
      </c>
      <c r="H2235" t="s">
        <v>169</v>
      </c>
      <c r="I2235" t="s">
        <v>7274</v>
      </c>
      <c r="J2235" t="s">
        <v>8849</v>
      </c>
      <c r="L2235" t="s">
        <v>20</v>
      </c>
      <c r="M2235" t="s">
        <v>8850</v>
      </c>
    </row>
    <row r="2236" spans="1:13" x14ac:dyDescent="0.25">
      <c r="A2236">
        <v>6743513</v>
      </c>
      <c r="B2236" t="s">
        <v>8851</v>
      </c>
      <c r="C2236" t="str">
        <f>"9780892641604"</f>
        <v>9780892641604</v>
      </c>
      <c r="D2236" t="str">
        <f>"9780472901500"</f>
        <v>9780472901500</v>
      </c>
      <c r="E2236" t="s">
        <v>7091</v>
      </c>
      <c r="F2236" s="1">
        <v>37622</v>
      </c>
      <c r="G2236" t="s">
        <v>8852</v>
      </c>
      <c r="H2236" t="s">
        <v>64</v>
      </c>
      <c r="I2236" t="s">
        <v>8853</v>
      </c>
      <c r="J2236">
        <v>305.20951000000002</v>
      </c>
      <c r="L2236" t="s">
        <v>20</v>
      </c>
      <c r="M2236" t="s">
        <v>8854</v>
      </c>
    </row>
    <row r="2237" spans="1:13" x14ac:dyDescent="0.25">
      <c r="A2237">
        <v>6743514</v>
      </c>
      <c r="B2237" t="s">
        <v>8855</v>
      </c>
      <c r="C2237" t="str">
        <f>"9780892649495"</f>
        <v>9780892649495</v>
      </c>
      <c r="D2237" t="str">
        <f>"9780472901791"</f>
        <v>9780472901791</v>
      </c>
      <c r="E2237" t="s">
        <v>7091</v>
      </c>
      <c r="F2237" s="1">
        <v>29952</v>
      </c>
      <c r="G2237" t="s">
        <v>8856</v>
      </c>
      <c r="H2237" t="s">
        <v>2293</v>
      </c>
      <c r="I2237" t="s">
        <v>8857</v>
      </c>
      <c r="L2237" t="s">
        <v>20</v>
      </c>
      <c r="M2237" t="s">
        <v>8858</v>
      </c>
    </row>
    <row r="2238" spans="1:13" x14ac:dyDescent="0.25">
      <c r="A2238">
        <v>6743515</v>
      </c>
      <c r="B2238" t="s">
        <v>8859</v>
      </c>
      <c r="C2238" t="str">
        <f>"9781929280667"</f>
        <v>9781929280667</v>
      </c>
      <c r="D2238" t="str">
        <f>"9780472901609"</f>
        <v>9780472901609</v>
      </c>
      <c r="E2238" t="s">
        <v>7076</v>
      </c>
      <c r="F2238" s="1">
        <v>40550</v>
      </c>
      <c r="G2238" t="s">
        <v>8860</v>
      </c>
      <c r="H2238" t="s">
        <v>64</v>
      </c>
      <c r="I2238" t="s">
        <v>8861</v>
      </c>
      <c r="J2238" t="s">
        <v>8862</v>
      </c>
      <c r="L2238" t="s">
        <v>20</v>
      </c>
      <c r="M2238" t="s">
        <v>8863</v>
      </c>
    </row>
    <row r="2239" spans="1:13" x14ac:dyDescent="0.25">
      <c r="A2239">
        <v>6743516</v>
      </c>
      <c r="B2239" t="s">
        <v>8864</v>
      </c>
      <c r="C2239" t="str">
        <f>"9780472038435"</f>
        <v>9780472038435</v>
      </c>
      <c r="D2239" t="str">
        <f>"9780472902262"</f>
        <v>9780472902262</v>
      </c>
      <c r="E2239" t="s">
        <v>7081</v>
      </c>
      <c r="F2239" s="1">
        <v>44215</v>
      </c>
      <c r="G2239" t="s">
        <v>8865</v>
      </c>
      <c r="H2239" t="s">
        <v>139</v>
      </c>
      <c r="J2239">
        <v>954.05</v>
      </c>
      <c r="L2239" t="s">
        <v>20</v>
      </c>
      <c r="M2239" t="s">
        <v>8866</v>
      </c>
    </row>
    <row r="2240" spans="1:13" x14ac:dyDescent="0.25">
      <c r="A2240">
        <v>6743520</v>
      </c>
      <c r="B2240" t="s">
        <v>8867</v>
      </c>
      <c r="C2240" t="str">
        <f>"9783030788926"</f>
        <v>9783030788926</v>
      </c>
      <c r="D2240" t="str">
        <f>"9783030788933"</f>
        <v>9783030788933</v>
      </c>
      <c r="E2240" t="s">
        <v>2905</v>
      </c>
      <c r="F2240" s="1">
        <v>44474</v>
      </c>
      <c r="G2240" t="s">
        <v>8868</v>
      </c>
      <c r="H2240" t="s">
        <v>363</v>
      </c>
      <c r="I2240" t="s">
        <v>8869</v>
      </c>
      <c r="L2240" t="s">
        <v>20</v>
      </c>
      <c r="M2240" t="s">
        <v>8870</v>
      </c>
    </row>
    <row r="2241" spans="1:13" x14ac:dyDescent="0.25">
      <c r="A2241">
        <v>6743521</v>
      </c>
      <c r="B2241" t="s">
        <v>8871</v>
      </c>
      <c r="C2241" t="str">
        <f>"9783030797386"</f>
        <v>9783030797386</v>
      </c>
      <c r="D2241" t="str">
        <f>"9783030797393"</f>
        <v>9783030797393</v>
      </c>
      <c r="E2241" t="s">
        <v>2905</v>
      </c>
      <c r="F2241" s="1">
        <v>44474</v>
      </c>
      <c r="G2241" t="s">
        <v>8872</v>
      </c>
      <c r="H2241" t="s">
        <v>83</v>
      </c>
      <c r="I2241" t="s">
        <v>8873</v>
      </c>
      <c r="J2241">
        <v>363.70499999999998</v>
      </c>
      <c r="L2241" t="s">
        <v>20</v>
      </c>
      <c r="M2241" t="s">
        <v>8874</v>
      </c>
    </row>
    <row r="2242" spans="1:13" x14ac:dyDescent="0.25">
      <c r="A2242">
        <v>6743522</v>
      </c>
      <c r="B2242" t="s">
        <v>8875</v>
      </c>
      <c r="C2242" t="str">
        <f>"9783030821586"</f>
        <v>9783030821586</v>
      </c>
      <c r="D2242" t="str">
        <f>"9783030821593"</f>
        <v>9783030821593</v>
      </c>
      <c r="E2242" t="s">
        <v>2905</v>
      </c>
      <c r="F2242" s="1">
        <v>44474</v>
      </c>
      <c r="G2242" t="s">
        <v>8876</v>
      </c>
      <c r="H2242" t="s">
        <v>363</v>
      </c>
      <c r="I2242" t="s">
        <v>4529</v>
      </c>
      <c r="L2242" t="s">
        <v>20</v>
      </c>
      <c r="M2242" t="s">
        <v>8877</v>
      </c>
    </row>
    <row r="2243" spans="1:13" x14ac:dyDescent="0.25">
      <c r="A2243">
        <v>6743523</v>
      </c>
      <c r="B2243" t="s">
        <v>8878</v>
      </c>
      <c r="C2243" t="str">
        <f>"9783658314651"</f>
        <v>9783658314651</v>
      </c>
      <c r="D2243" t="str">
        <f>"9783658314668"</f>
        <v>9783658314668</v>
      </c>
      <c r="E2243" t="s">
        <v>4472</v>
      </c>
      <c r="F2243" s="1">
        <v>44474</v>
      </c>
      <c r="G2243" t="s">
        <v>8879</v>
      </c>
      <c r="H2243" t="s">
        <v>83</v>
      </c>
      <c r="I2243" t="s">
        <v>8873</v>
      </c>
      <c r="L2243" t="s">
        <v>291</v>
      </c>
      <c r="M2243" t="s">
        <v>8880</v>
      </c>
    </row>
    <row r="2244" spans="1:13" x14ac:dyDescent="0.25">
      <c r="A2244">
        <v>6745245</v>
      </c>
      <c r="B2244" t="s">
        <v>8881</v>
      </c>
      <c r="C2244" t="str">
        <f>""</f>
        <v/>
      </c>
      <c r="D2244" t="str">
        <f>"9782759233083"</f>
        <v>9782759233083</v>
      </c>
      <c r="E2244" t="s">
        <v>2434</v>
      </c>
      <c r="F2244" s="1">
        <v>44476</v>
      </c>
      <c r="G2244" t="s">
        <v>8882</v>
      </c>
      <c r="H2244" t="s">
        <v>8883</v>
      </c>
      <c r="L2244" t="s">
        <v>1279</v>
      </c>
      <c r="M2244" t="s">
        <v>8884</v>
      </c>
    </row>
    <row r="2245" spans="1:13" x14ac:dyDescent="0.25">
      <c r="A2245">
        <v>6745788</v>
      </c>
      <c r="B2245" t="s">
        <v>8885</v>
      </c>
      <c r="C2245" t="str">
        <f>"9789811640780"</f>
        <v>9789811640780</v>
      </c>
      <c r="D2245" t="str">
        <f>"9789811640797"</f>
        <v>9789811640797</v>
      </c>
      <c r="E2245" t="s">
        <v>4099</v>
      </c>
      <c r="F2245" s="1">
        <v>44475</v>
      </c>
      <c r="G2245" t="s">
        <v>8886</v>
      </c>
      <c r="H2245" t="s">
        <v>139</v>
      </c>
      <c r="I2245" t="s">
        <v>8887</v>
      </c>
      <c r="L2245" t="s">
        <v>20</v>
      </c>
      <c r="M2245" t="s">
        <v>8888</v>
      </c>
    </row>
    <row r="2246" spans="1:13" x14ac:dyDescent="0.25">
      <c r="A2246">
        <v>6747568</v>
      </c>
      <c r="B2246" t="s">
        <v>8889</v>
      </c>
      <c r="C2246" t="str">
        <f>"9783662641392"</f>
        <v>9783662641392</v>
      </c>
      <c r="D2246" t="str">
        <f>"9783662641408"</f>
        <v>9783662641408</v>
      </c>
      <c r="E2246" t="s">
        <v>4540</v>
      </c>
      <c r="F2246" s="1">
        <v>44477</v>
      </c>
      <c r="G2246" t="s">
        <v>7330</v>
      </c>
      <c r="H2246" t="s">
        <v>5094</v>
      </c>
      <c r="I2246" t="s">
        <v>5419</v>
      </c>
      <c r="L2246" t="s">
        <v>20</v>
      </c>
      <c r="M2246" t="s">
        <v>8890</v>
      </c>
    </row>
    <row r="2247" spans="1:13" x14ac:dyDescent="0.25">
      <c r="A2247">
        <v>6747838</v>
      </c>
      <c r="B2247" t="s">
        <v>8891</v>
      </c>
      <c r="C2247" t="str">
        <f>"9783030742393"</f>
        <v>9783030742393</v>
      </c>
      <c r="D2247" t="str">
        <f>"9783030742409"</f>
        <v>9783030742409</v>
      </c>
      <c r="E2247" t="s">
        <v>2905</v>
      </c>
      <c r="F2247" s="1">
        <v>44478</v>
      </c>
      <c r="G2247" t="s">
        <v>8892</v>
      </c>
      <c r="H2247" t="s">
        <v>239</v>
      </c>
      <c r="I2247" t="s">
        <v>8893</v>
      </c>
      <c r="L2247" t="s">
        <v>20</v>
      </c>
      <c r="M2247" t="s">
        <v>8894</v>
      </c>
    </row>
    <row r="2248" spans="1:13" x14ac:dyDescent="0.25">
      <c r="A2248">
        <v>6747976</v>
      </c>
      <c r="B2248" t="s">
        <v>8895</v>
      </c>
      <c r="C2248" t="str">
        <f>"9783030786267"</f>
        <v>9783030786267</v>
      </c>
      <c r="D2248" t="str">
        <f>"9783030786274"</f>
        <v>9783030786274</v>
      </c>
      <c r="E2248" t="s">
        <v>2905</v>
      </c>
      <c r="F2248" s="1">
        <v>44479</v>
      </c>
      <c r="G2248" t="s">
        <v>8896</v>
      </c>
      <c r="H2248" t="s">
        <v>83</v>
      </c>
      <c r="I2248" t="s">
        <v>4749</v>
      </c>
      <c r="L2248" t="s">
        <v>20</v>
      </c>
      <c r="M2248" t="s">
        <v>8897</v>
      </c>
    </row>
    <row r="2249" spans="1:13" x14ac:dyDescent="0.25">
      <c r="A2249">
        <v>6748746</v>
      </c>
      <c r="B2249" t="s">
        <v>8898</v>
      </c>
      <c r="C2249" t="str">
        <f>"9789811647246"</f>
        <v>9789811647246</v>
      </c>
      <c r="D2249" t="str">
        <f>"9789811647253"</f>
        <v>9789811647253</v>
      </c>
      <c r="E2249" t="s">
        <v>4099</v>
      </c>
      <c r="F2249" s="1">
        <v>44480</v>
      </c>
      <c r="G2249" t="s">
        <v>8899</v>
      </c>
      <c r="H2249" t="s">
        <v>30</v>
      </c>
      <c r="I2249" t="s">
        <v>5690</v>
      </c>
      <c r="L2249" t="s">
        <v>20</v>
      </c>
      <c r="M2249" t="s">
        <v>8900</v>
      </c>
    </row>
    <row r="2250" spans="1:13" x14ac:dyDescent="0.25">
      <c r="A2250">
        <v>6749215</v>
      </c>
      <c r="B2250" t="s">
        <v>8901</v>
      </c>
      <c r="C2250" t="str">
        <f>"9789811629037"</f>
        <v>9789811629037</v>
      </c>
      <c r="D2250" t="str">
        <f>"9789811629044"</f>
        <v>9789811629044</v>
      </c>
      <c r="E2250" t="s">
        <v>4099</v>
      </c>
      <c r="F2250" s="1">
        <v>44481</v>
      </c>
      <c r="G2250" t="s">
        <v>8902</v>
      </c>
      <c r="H2250" t="s">
        <v>2528</v>
      </c>
      <c r="I2250" t="s">
        <v>6405</v>
      </c>
      <c r="L2250" t="s">
        <v>20</v>
      </c>
      <c r="M2250" t="s">
        <v>8903</v>
      </c>
    </row>
    <row r="2251" spans="1:13" x14ac:dyDescent="0.25">
      <c r="A2251">
        <v>6749216</v>
      </c>
      <c r="B2251" t="s">
        <v>8904</v>
      </c>
      <c r="C2251" t="str">
        <f>"9783662629864"</f>
        <v>9783662629864</v>
      </c>
      <c r="D2251" t="str">
        <f>"9783662629871"</f>
        <v>9783662629871</v>
      </c>
      <c r="E2251" t="s">
        <v>4540</v>
      </c>
      <c r="F2251" s="1">
        <v>44481</v>
      </c>
      <c r="G2251" t="s">
        <v>8905</v>
      </c>
      <c r="H2251" t="s">
        <v>1624</v>
      </c>
      <c r="I2251" t="s">
        <v>4560</v>
      </c>
      <c r="L2251" t="s">
        <v>291</v>
      </c>
      <c r="M2251" t="s">
        <v>8906</v>
      </c>
    </row>
    <row r="2252" spans="1:13" x14ac:dyDescent="0.25">
      <c r="A2252">
        <v>6749217</v>
      </c>
      <c r="B2252" t="s">
        <v>8907</v>
      </c>
      <c r="C2252" t="str">
        <f>"9783662632031"</f>
        <v>9783662632031</v>
      </c>
      <c r="D2252" t="str">
        <f>"9783662632048"</f>
        <v>9783662632048</v>
      </c>
      <c r="E2252" t="s">
        <v>5860</v>
      </c>
      <c r="F2252" s="1">
        <v>44481</v>
      </c>
      <c r="G2252" t="s">
        <v>8908</v>
      </c>
      <c r="H2252" t="s">
        <v>70</v>
      </c>
      <c r="I2252" t="s">
        <v>8909</v>
      </c>
      <c r="L2252" t="s">
        <v>291</v>
      </c>
      <c r="M2252" t="s">
        <v>8910</v>
      </c>
    </row>
    <row r="2253" spans="1:13" x14ac:dyDescent="0.25">
      <c r="A2253">
        <v>6749218</v>
      </c>
      <c r="B2253" t="s">
        <v>8911</v>
      </c>
      <c r="C2253" t="str">
        <f>"9783030782009"</f>
        <v>9783030782009</v>
      </c>
      <c r="D2253" t="str">
        <f>"9783030782016"</f>
        <v>9783030782016</v>
      </c>
      <c r="E2253" t="s">
        <v>2905</v>
      </c>
      <c r="F2253" s="1">
        <v>44482</v>
      </c>
      <c r="G2253" t="s">
        <v>8912</v>
      </c>
      <c r="H2253" t="s">
        <v>30</v>
      </c>
      <c r="I2253" t="s">
        <v>8913</v>
      </c>
      <c r="J2253">
        <v>320.07229999999998</v>
      </c>
      <c r="L2253" t="s">
        <v>20</v>
      </c>
      <c r="M2253" t="s">
        <v>8914</v>
      </c>
    </row>
    <row r="2254" spans="1:13" x14ac:dyDescent="0.25">
      <c r="A2254">
        <v>6749219</v>
      </c>
      <c r="B2254" t="s">
        <v>8915</v>
      </c>
      <c r="C2254" t="str">
        <f>"9783030783532"</f>
        <v>9783030783532</v>
      </c>
      <c r="D2254" t="str">
        <f>"9783030783549"</f>
        <v>9783030783549</v>
      </c>
      <c r="E2254" t="s">
        <v>2905</v>
      </c>
      <c r="F2254" s="1">
        <v>44481</v>
      </c>
      <c r="G2254" t="s">
        <v>8916</v>
      </c>
      <c r="H2254" t="s">
        <v>2623</v>
      </c>
      <c r="I2254" t="s">
        <v>7368</v>
      </c>
      <c r="L2254" t="s">
        <v>20</v>
      </c>
      <c r="M2254" t="s">
        <v>8917</v>
      </c>
    </row>
    <row r="2255" spans="1:13" x14ac:dyDescent="0.25">
      <c r="A2255">
        <v>6749466</v>
      </c>
      <c r="B2255" t="s">
        <v>8918</v>
      </c>
      <c r="C2255" t="str">
        <f>"9783837652864"</f>
        <v>9783837652864</v>
      </c>
      <c r="D2255" t="str">
        <f>"9783839452868"</f>
        <v>9783839452868</v>
      </c>
      <c r="E2255" t="s">
        <v>8919</v>
      </c>
      <c r="F2255" s="1">
        <v>43952</v>
      </c>
      <c r="G2255" t="s">
        <v>8920</v>
      </c>
      <c r="H2255" t="s">
        <v>70</v>
      </c>
      <c r="L2255" t="s">
        <v>291</v>
      </c>
      <c r="M2255" t="s">
        <v>8921</v>
      </c>
    </row>
    <row r="2256" spans="1:13" x14ac:dyDescent="0.25">
      <c r="A2256">
        <v>6749647</v>
      </c>
      <c r="B2256" t="s">
        <v>8922</v>
      </c>
      <c r="C2256" t="str">
        <f>"9783837656213"</f>
        <v>9783837656213</v>
      </c>
      <c r="D2256" t="str">
        <f>"9783839456217"</f>
        <v>9783839456217</v>
      </c>
      <c r="E2256" t="s">
        <v>8919</v>
      </c>
      <c r="F2256" s="1">
        <v>44348</v>
      </c>
      <c r="G2256" t="s">
        <v>8923</v>
      </c>
      <c r="H2256" t="s">
        <v>64</v>
      </c>
      <c r="L2256" t="s">
        <v>291</v>
      </c>
      <c r="M2256" t="s">
        <v>8924</v>
      </c>
    </row>
    <row r="2257" spans="1:13" x14ac:dyDescent="0.25">
      <c r="A2257">
        <v>6749729</v>
      </c>
      <c r="B2257" t="s">
        <v>8925</v>
      </c>
      <c r="C2257" t="str">
        <f>"9783837642278"</f>
        <v>9783837642278</v>
      </c>
      <c r="D2257" t="str">
        <f>"9783839442272"</f>
        <v>9783839442272</v>
      </c>
      <c r="E2257" t="s">
        <v>8919</v>
      </c>
      <c r="F2257" s="1">
        <v>43282</v>
      </c>
      <c r="G2257" t="s">
        <v>8926</v>
      </c>
      <c r="H2257" t="s">
        <v>310</v>
      </c>
      <c r="L2257" t="s">
        <v>291</v>
      </c>
      <c r="M2257" t="s">
        <v>8927</v>
      </c>
    </row>
    <row r="2258" spans="1:13" x14ac:dyDescent="0.25">
      <c r="A2258">
        <v>6749811</v>
      </c>
      <c r="B2258" t="s">
        <v>8928</v>
      </c>
      <c r="C2258" t="str">
        <f>"9783837643848"</f>
        <v>9783837643848</v>
      </c>
      <c r="D2258" t="str">
        <f>"9783839443842"</f>
        <v>9783839443842</v>
      </c>
      <c r="E2258" t="s">
        <v>8919</v>
      </c>
      <c r="F2258" s="1">
        <v>43374</v>
      </c>
      <c r="G2258" t="s">
        <v>8929</v>
      </c>
      <c r="H2258" t="s">
        <v>363</v>
      </c>
      <c r="L2258" t="s">
        <v>291</v>
      </c>
      <c r="M2258" t="s">
        <v>8930</v>
      </c>
    </row>
    <row r="2259" spans="1:13" x14ac:dyDescent="0.25">
      <c r="A2259">
        <v>6749889</v>
      </c>
      <c r="B2259" t="s">
        <v>8931</v>
      </c>
      <c r="C2259" t="str">
        <f>"9783837651508"</f>
        <v>9783837651508</v>
      </c>
      <c r="D2259" t="str">
        <f>"9783839451502"</f>
        <v>9783839451502</v>
      </c>
      <c r="E2259" t="s">
        <v>8919</v>
      </c>
      <c r="F2259" s="1">
        <v>43891</v>
      </c>
      <c r="G2259" t="s">
        <v>8932</v>
      </c>
      <c r="H2259" t="s">
        <v>83</v>
      </c>
      <c r="I2259" t="s">
        <v>8933</v>
      </c>
      <c r="L2259" t="s">
        <v>20</v>
      </c>
      <c r="M2259" t="s">
        <v>8934</v>
      </c>
    </row>
    <row r="2260" spans="1:13" x14ac:dyDescent="0.25">
      <c r="A2260">
        <v>6749923</v>
      </c>
      <c r="B2260" t="s">
        <v>8935</v>
      </c>
      <c r="C2260" t="str">
        <f>"9783837640922"</f>
        <v>9783837640922</v>
      </c>
      <c r="D2260" t="str">
        <f>"9783839440926"</f>
        <v>9783839440926</v>
      </c>
      <c r="E2260" t="s">
        <v>8919</v>
      </c>
      <c r="F2260" s="1">
        <v>43070</v>
      </c>
      <c r="G2260" t="s">
        <v>8936</v>
      </c>
      <c r="H2260" t="s">
        <v>64</v>
      </c>
      <c r="L2260" t="s">
        <v>291</v>
      </c>
      <c r="M2260" t="s">
        <v>8937</v>
      </c>
    </row>
    <row r="2261" spans="1:13" x14ac:dyDescent="0.25">
      <c r="A2261">
        <v>6750107</v>
      </c>
      <c r="B2261" t="s">
        <v>8938</v>
      </c>
      <c r="C2261" t="str">
        <f>"9783732858378"</f>
        <v>9783732858378</v>
      </c>
      <c r="D2261" t="str">
        <f>"9783839458372"</f>
        <v>9783839458372</v>
      </c>
      <c r="E2261" t="s">
        <v>8919</v>
      </c>
      <c r="F2261" s="1">
        <v>44348</v>
      </c>
      <c r="G2261" t="s">
        <v>8939</v>
      </c>
      <c r="H2261" t="s">
        <v>30</v>
      </c>
      <c r="L2261" t="s">
        <v>291</v>
      </c>
      <c r="M2261" t="s">
        <v>8940</v>
      </c>
    </row>
    <row r="2262" spans="1:13" x14ac:dyDescent="0.25">
      <c r="A2262">
        <v>6750294</v>
      </c>
      <c r="B2262" t="s">
        <v>8941</v>
      </c>
      <c r="C2262" t="str">
        <f>"9783732857531"</f>
        <v>9783732857531</v>
      </c>
      <c r="D2262" t="str">
        <f>"9783839457535"</f>
        <v>9783839457535</v>
      </c>
      <c r="E2262" t="s">
        <v>8919</v>
      </c>
      <c r="F2262" s="1">
        <v>44348</v>
      </c>
      <c r="G2262" t="s">
        <v>8942</v>
      </c>
      <c r="H2262" t="s">
        <v>30</v>
      </c>
      <c r="L2262" t="s">
        <v>291</v>
      </c>
      <c r="M2262" t="s">
        <v>8943</v>
      </c>
    </row>
    <row r="2263" spans="1:13" x14ac:dyDescent="0.25">
      <c r="A2263">
        <v>6750315</v>
      </c>
      <c r="B2263" t="s">
        <v>8944</v>
      </c>
      <c r="C2263" t="str">
        <f>"9783837653458"</f>
        <v>9783837653458</v>
      </c>
      <c r="D2263" t="str">
        <f>"9783839453452"</f>
        <v>9783839453452</v>
      </c>
      <c r="E2263" t="s">
        <v>8919</v>
      </c>
      <c r="F2263" s="1">
        <v>44317</v>
      </c>
      <c r="G2263" t="s">
        <v>8945</v>
      </c>
      <c r="H2263" t="s">
        <v>64</v>
      </c>
      <c r="L2263" t="s">
        <v>20</v>
      </c>
      <c r="M2263" t="s">
        <v>8946</v>
      </c>
    </row>
    <row r="2264" spans="1:13" x14ac:dyDescent="0.25">
      <c r="A2264">
        <v>6750333</v>
      </c>
      <c r="B2264" t="s">
        <v>8947</v>
      </c>
      <c r="C2264" t="str">
        <f>""</f>
        <v/>
      </c>
      <c r="D2264" t="str">
        <f>"9783839444917"</f>
        <v>9783839444917</v>
      </c>
      <c r="E2264" t="s">
        <v>7934</v>
      </c>
      <c r="F2264" s="1">
        <v>44130</v>
      </c>
      <c r="G2264" t="s">
        <v>8948</v>
      </c>
      <c r="H2264" t="s">
        <v>1753</v>
      </c>
      <c r="L2264" t="s">
        <v>291</v>
      </c>
      <c r="M2264" t="s">
        <v>8949</v>
      </c>
    </row>
    <row r="2265" spans="1:13" x14ac:dyDescent="0.25">
      <c r="A2265">
        <v>6750416</v>
      </c>
      <c r="B2265" t="s">
        <v>8950</v>
      </c>
      <c r="C2265" t="str">
        <f>"9783837653557"</f>
        <v>9783837653557</v>
      </c>
      <c r="D2265" t="str">
        <f>"9783839453551"</f>
        <v>9783839453551</v>
      </c>
      <c r="E2265" t="s">
        <v>8919</v>
      </c>
      <c r="F2265" s="1">
        <v>44075</v>
      </c>
      <c r="G2265" t="s">
        <v>8951</v>
      </c>
      <c r="H2265" t="s">
        <v>310</v>
      </c>
      <c r="L2265" t="s">
        <v>291</v>
      </c>
      <c r="M2265" t="s">
        <v>8952</v>
      </c>
    </row>
    <row r="2266" spans="1:13" x14ac:dyDescent="0.25">
      <c r="A2266">
        <v>6750483</v>
      </c>
      <c r="B2266" t="s">
        <v>8953</v>
      </c>
      <c r="C2266" t="str">
        <f>"9783837655742"</f>
        <v>9783837655742</v>
      </c>
      <c r="D2266" t="str">
        <f>"9783839455746"</f>
        <v>9783839455746</v>
      </c>
      <c r="E2266" t="s">
        <v>8919</v>
      </c>
      <c r="F2266" s="1">
        <v>44075</v>
      </c>
      <c r="G2266" t="s">
        <v>7935</v>
      </c>
      <c r="H2266" t="s">
        <v>2368</v>
      </c>
      <c r="L2266" t="s">
        <v>291</v>
      </c>
      <c r="M2266" t="s">
        <v>8954</v>
      </c>
    </row>
    <row r="2267" spans="1:13" x14ac:dyDescent="0.25">
      <c r="A2267">
        <v>6750588</v>
      </c>
      <c r="B2267" t="s">
        <v>8955</v>
      </c>
      <c r="C2267" t="str">
        <f>"9783837647532"</f>
        <v>9783837647532</v>
      </c>
      <c r="D2267" t="str">
        <f>"9783839447536"</f>
        <v>9783839447536</v>
      </c>
      <c r="E2267" t="s">
        <v>8919</v>
      </c>
      <c r="F2267" s="1">
        <v>43891</v>
      </c>
      <c r="G2267" t="s">
        <v>8956</v>
      </c>
      <c r="H2267" t="s">
        <v>30</v>
      </c>
      <c r="I2267" t="s">
        <v>8957</v>
      </c>
      <c r="L2267" t="s">
        <v>20</v>
      </c>
      <c r="M2267" t="s">
        <v>8958</v>
      </c>
    </row>
    <row r="2268" spans="1:13" x14ac:dyDescent="0.25">
      <c r="A2268">
        <v>6750638</v>
      </c>
      <c r="B2268" t="s">
        <v>8959</v>
      </c>
      <c r="C2268" t="str">
        <f>"9783837639131"</f>
        <v>9783837639131</v>
      </c>
      <c r="D2268" t="str">
        <f>"9783839439135"</f>
        <v>9783839439135</v>
      </c>
      <c r="E2268" t="s">
        <v>8919</v>
      </c>
      <c r="F2268" s="1">
        <v>43344</v>
      </c>
      <c r="G2268" t="s">
        <v>8960</v>
      </c>
      <c r="H2268" t="s">
        <v>64</v>
      </c>
      <c r="L2268" t="s">
        <v>20</v>
      </c>
      <c r="M2268" t="s">
        <v>8961</v>
      </c>
    </row>
    <row r="2269" spans="1:13" x14ac:dyDescent="0.25">
      <c r="A2269">
        <v>6750643</v>
      </c>
      <c r="B2269" t="s">
        <v>8962</v>
      </c>
      <c r="C2269" t="str">
        <f>"9783837655919"</f>
        <v>9783837655919</v>
      </c>
      <c r="D2269" t="str">
        <f>"9783839455913"</f>
        <v>9783839455913</v>
      </c>
      <c r="E2269" t="s">
        <v>8919</v>
      </c>
      <c r="F2269" s="1">
        <v>44348</v>
      </c>
      <c r="G2269" t="s">
        <v>8963</v>
      </c>
      <c r="H2269" t="s">
        <v>64</v>
      </c>
      <c r="L2269" t="s">
        <v>20</v>
      </c>
      <c r="M2269" t="s">
        <v>8964</v>
      </c>
    </row>
    <row r="2270" spans="1:13" x14ac:dyDescent="0.25">
      <c r="A2270">
        <v>6750671</v>
      </c>
      <c r="B2270" t="s">
        <v>8965</v>
      </c>
      <c r="C2270" t="str">
        <f>"9783732856169"</f>
        <v>9783732856169</v>
      </c>
      <c r="D2270" t="str">
        <f>"9783839456163"</f>
        <v>9783839456163</v>
      </c>
      <c r="E2270" t="s">
        <v>8919</v>
      </c>
      <c r="F2270" s="1">
        <v>44166</v>
      </c>
      <c r="G2270" t="s">
        <v>8966</v>
      </c>
      <c r="H2270" t="s">
        <v>64</v>
      </c>
      <c r="L2270" t="s">
        <v>291</v>
      </c>
      <c r="M2270" t="s">
        <v>8967</v>
      </c>
    </row>
    <row r="2271" spans="1:13" x14ac:dyDescent="0.25">
      <c r="A2271">
        <v>6750672</v>
      </c>
      <c r="B2271" t="s">
        <v>8968</v>
      </c>
      <c r="C2271" t="str">
        <f>"9783837647198"</f>
        <v>9783837647198</v>
      </c>
      <c r="D2271" t="str">
        <f>"9783839447192"</f>
        <v>9783839447192</v>
      </c>
      <c r="E2271" t="s">
        <v>8919</v>
      </c>
      <c r="F2271" s="1">
        <v>43739</v>
      </c>
      <c r="G2271" t="s">
        <v>8969</v>
      </c>
      <c r="H2271" t="s">
        <v>64</v>
      </c>
      <c r="L2271" t="s">
        <v>20</v>
      </c>
      <c r="M2271" t="s">
        <v>8970</v>
      </c>
    </row>
    <row r="2272" spans="1:13" x14ac:dyDescent="0.25">
      <c r="A2272">
        <v>6750675</v>
      </c>
      <c r="B2272" t="s">
        <v>8971</v>
      </c>
      <c r="C2272" t="str">
        <f>"9783732850235"</f>
        <v>9783732850235</v>
      </c>
      <c r="D2272" t="str">
        <f>"9783839450239"</f>
        <v>9783839450239</v>
      </c>
      <c r="E2272" t="s">
        <v>8919</v>
      </c>
      <c r="F2272" s="1">
        <v>44287</v>
      </c>
      <c r="G2272" t="s">
        <v>8972</v>
      </c>
      <c r="H2272" t="s">
        <v>64</v>
      </c>
      <c r="L2272" t="s">
        <v>20</v>
      </c>
      <c r="M2272" t="s">
        <v>8973</v>
      </c>
    </row>
    <row r="2273" spans="1:13" x14ac:dyDescent="0.25">
      <c r="A2273">
        <v>6750727</v>
      </c>
      <c r="B2273" t="s">
        <v>8974</v>
      </c>
      <c r="C2273" t="str">
        <f>"9783837650662"</f>
        <v>9783837650662</v>
      </c>
      <c r="D2273" t="str">
        <f>"9783839450666"</f>
        <v>9783839450666</v>
      </c>
      <c r="E2273" t="s">
        <v>8919</v>
      </c>
      <c r="F2273" s="1">
        <v>44075</v>
      </c>
      <c r="G2273" t="s">
        <v>8975</v>
      </c>
      <c r="H2273" t="s">
        <v>139</v>
      </c>
      <c r="L2273" t="s">
        <v>291</v>
      </c>
      <c r="M2273" t="s">
        <v>8976</v>
      </c>
    </row>
    <row r="2274" spans="1:13" x14ac:dyDescent="0.25">
      <c r="A2274">
        <v>6750764</v>
      </c>
      <c r="B2274" t="s">
        <v>8977</v>
      </c>
      <c r="C2274" t="str">
        <f>"9783732853717"</f>
        <v>9783732853717</v>
      </c>
      <c r="D2274" t="str">
        <f>"9783839453711"</f>
        <v>9783839453711</v>
      </c>
      <c r="E2274" t="s">
        <v>8919</v>
      </c>
      <c r="F2274" s="1">
        <v>44075</v>
      </c>
      <c r="G2274" t="s">
        <v>8978</v>
      </c>
      <c r="H2274" t="s">
        <v>363</v>
      </c>
      <c r="I2274" t="s">
        <v>8979</v>
      </c>
      <c r="L2274" t="s">
        <v>291</v>
      </c>
      <c r="M2274" t="s">
        <v>8980</v>
      </c>
    </row>
    <row r="2275" spans="1:13" x14ac:dyDescent="0.25">
      <c r="A2275">
        <v>6750765</v>
      </c>
      <c r="B2275" t="s">
        <v>8981</v>
      </c>
      <c r="C2275" t="str">
        <f>"9783837649833"</f>
        <v>9783837649833</v>
      </c>
      <c r="D2275" t="str">
        <f>"9783839449837"</f>
        <v>9783839449837</v>
      </c>
      <c r="E2275" t="s">
        <v>8919</v>
      </c>
      <c r="F2275" s="1">
        <v>44075</v>
      </c>
      <c r="G2275" t="s">
        <v>8982</v>
      </c>
      <c r="H2275" t="s">
        <v>806</v>
      </c>
      <c r="L2275" t="s">
        <v>291</v>
      </c>
      <c r="M2275" t="s">
        <v>8983</v>
      </c>
    </row>
    <row r="2276" spans="1:13" x14ac:dyDescent="0.25">
      <c r="A2276">
        <v>6750891</v>
      </c>
      <c r="B2276" t="s">
        <v>8984</v>
      </c>
      <c r="C2276" t="str">
        <f>"9783837643039"</f>
        <v>9783837643039</v>
      </c>
      <c r="D2276" t="str">
        <f>"9783839443033"</f>
        <v>9783839443033</v>
      </c>
      <c r="E2276" t="s">
        <v>8919</v>
      </c>
      <c r="F2276" s="1">
        <v>43497</v>
      </c>
      <c r="G2276" t="s">
        <v>8985</v>
      </c>
      <c r="H2276" t="s">
        <v>64</v>
      </c>
      <c r="L2276" t="s">
        <v>20</v>
      </c>
      <c r="M2276" t="s">
        <v>8986</v>
      </c>
    </row>
    <row r="2277" spans="1:13" x14ac:dyDescent="0.25">
      <c r="A2277">
        <v>6751002</v>
      </c>
      <c r="B2277" t="s">
        <v>8987</v>
      </c>
      <c r="C2277" t="str">
        <f>"9783837648812"</f>
        <v>9783837648812</v>
      </c>
      <c r="D2277" t="str">
        <f>"9783839448816"</f>
        <v>9783839448816</v>
      </c>
      <c r="E2277" t="s">
        <v>8919</v>
      </c>
      <c r="F2277" s="1">
        <v>43862</v>
      </c>
      <c r="G2277" t="s">
        <v>8988</v>
      </c>
      <c r="H2277" t="s">
        <v>64</v>
      </c>
      <c r="L2277" t="s">
        <v>20</v>
      </c>
      <c r="M2277" t="s">
        <v>8989</v>
      </c>
    </row>
    <row r="2278" spans="1:13" x14ac:dyDescent="0.25">
      <c r="A2278">
        <v>6751046</v>
      </c>
      <c r="B2278" t="s">
        <v>8990</v>
      </c>
      <c r="C2278" t="str">
        <f>"9783837652437"</f>
        <v>9783837652437</v>
      </c>
      <c r="D2278" t="str">
        <f>"9783839452431"</f>
        <v>9783839452431</v>
      </c>
      <c r="E2278" t="s">
        <v>8919</v>
      </c>
      <c r="F2278" s="1">
        <v>44013</v>
      </c>
      <c r="G2278" t="s">
        <v>8991</v>
      </c>
      <c r="H2278" t="s">
        <v>1753</v>
      </c>
      <c r="L2278" t="s">
        <v>20</v>
      </c>
      <c r="M2278" t="s">
        <v>8992</v>
      </c>
    </row>
    <row r="2279" spans="1:13" x14ac:dyDescent="0.25">
      <c r="A2279">
        <v>6751059</v>
      </c>
      <c r="B2279" t="s">
        <v>8993</v>
      </c>
      <c r="C2279" t="str">
        <f>"9783837650228"</f>
        <v>9783837650228</v>
      </c>
      <c r="D2279" t="str">
        <f>"9783839450222"</f>
        <v>9783839450222</v>
      </c>
      <c r="E2279" t="s">
        <v>8919</v>
      </c>
      <c r="F2279" s="1">
        <v>43891</v>
      </c>
      <c r="G2279" t="s">
        <v>8994</v>
      </c>
      <c r="H2279" t="s">
        <v>64</v>
      </c>
      <c r="L2279" t="s">
        <v>291</v>
      </c>
      <c r="M2279" t="s">
        <v>8995</v>
      </c>
    </row>
    <row r="2280" spans="1:13" x14ac:dyDescent="0.25">
      <c r="A2280">
        <v>6751064</v>
      </c>
      <c r="B2280" t="s">
        <v>8996</v>
      </c>
      <c r="C2280" t="str">
        <f>"9783732853212"</f>
        <v>9783732853212</v>
      </c>
      <c r="D2280" t="str">
        <f>"9783839453216"</f>
        <v>9783839453216</v>
      </c>
      <c r="E2280" t="s">
        <v>8919</v>
      </c>
      <c r="F2280" s="1">
        <v>43983</v>
      </c>
      <c r="G2280" t="s">
        <v>8997</v>
      </c>
      <c r="H2280" t="s">
        <v>30</v>
      </c>
      <c r="I2280" t="s">
        <v>8998</v>
      </c>
      <c r="L2280" t="s">
        <v>291</v>
      </c>
      <c r="M2280" t="s">
        <v>8999</v>
      </c>
    </row>
    <row r="2281" spans="1:13" x14ac:dyDescent="0.25">
      <c r="A2281">
        <v>6751170</v>
      </c>
      <c r="B2281" t="s">
        <v>9000</v>
      </c>
      <c r="C2281" t="str">
        <f>"9783837651041"</f>
        <v>9783837651041</v>
      </c>
      <c r="D2281" t="str">
        <f>"9783839451045"</f>
        <v>9783839451045</v>
      </c>
      <c r="E2281" t="s">
        <v>8919</v>
      </c>
      <c r="F2281" s="1">
        <v>43952</v>
      </c>
      <c r="G2281" t="s">
        <v>9001</v>
      </c>
      <c r="H2281" t="s">
        <v>64</v>
      </c>
      <c r="L2281" t="s">
        <v>20</v>
      </c>
      <c r="M2281" t="s">
        <v>9002</v>
      </c>
    </row>
    <row r="2282" spans="1:13" x14ac:dyDescent="0.25">
      <c r="A2282">
        <v>6751200</v>
      </c>
      <c r="B2282" t="s">
        <v>9003</v>
      </c>
      <c r="C2282" t="str">
        <f>"9783837652000"</f>
        <v>9783837652000</v>
      </c>
      <c r="D2282" t="str">
        <f>"9783839452004"</f>
        <v>9783839452004</v>
      </c>
      <c r="E2282" t="s">
        <v>8919</v>
      </c>
      <c r="F2282" s="1">
        <v>43952</v>
      </c>
      <c r="G2282" t="s">
        <v>9004</v>
      </c>
      <c r="H2282" t="s">
        <v>139</v>
      </c>
      <c r="L2282" t="s">
        <v>291</v>
      </c>
      <c r="M2282" t="s">
        <v>9005</v>
      </c>
    </row>
    <row r="2283" spans="1:13" x14ac:dyDescent="0.25">
      <c r="A2283">
        <v>6751224</v>
      </c>
      <c r="B2283" t="s">
        <v>9006</v>
      </c>
      <c r="C2283" t="str">
        <f>"9783837640663"</f>
        <v>9783837640663</v>
      </c>
      <c r="D2283" t="str">
        <f>"9783839440667"</f>
        <v>9783839440667</v>
      </c>
      <c r="E2283" t="s">
        <v>8919</v>
      </c>
      <c r="F2283" s="1">
        <v>43191</v>
      </c>
      <c r="G2283" t="s">
        <v>9007</v>
      </c>
      <c r="H2283" t="s">
        <v>64</v>
      </c>
      <c r="L2283" t="s">
        <v>291</v>
      </c>
      <c r="M2283" t="s">
        <v>9008</v>
      </c>
    </row>
    <row r="2284" spans="1:13" x14ac:dyDescent="0.25">
      <c r="A2284">
        <v>6751348</v>
      </c>
      <c r="B2284" t="s">
        <v>9009</v>
      </c>
      <c r="C2284" t="str">
        <f>"9783837650785"</f>
        <v>9783837650785</v>
      </c>
      <c r="D2284" t="str">
        <f>"9783839450789"</f>
        <v>9783839450789</v>
      </c>
      <c r="E2284" t="s">
        <v>8919</v>
      </c>
      <c r="F2284" s="1">
        <v>43831</v>
      </c>
      <c r="G2284" t="s">
        <v>9010</v>
      </c>
      <c r="H2284" t="s">
        <v>64</v>
      </c>
      <c r="L2284" t="s">
        <v>291</v>
      </c>
      <c r="M2284" t="s">
        <v>9011</v>
      </c>
    </row>
    <row r="2285" spans="1:13" x14ac:dyDescent="0.25">
      <c r="A2285">
        <v>6751396</v>
      </c>
      <c r="B2285" t="s">
        <v>9012</v>
      </c>
      <c r="C2285" t="str">
        <f>"9783837652871"</f>
        <v>9783837652871</v>
      </c>
      <c r="D2285" t="str">
        <f>"9783839452875"</f>
        <v>9783839452875</v>
      </c>
      <c r="E2285" t="s">
        <v>8919</v>
      </c>
      <c r="F2285" s="1">
        <v>44256</v>
      </c>
      <c r="G2285" t="s">
        <v>9013</v>
      </c>
      <c r="H2285" t="s">
        <v>246</v>
      </c>
      <c r="J2285" t="s">
        <v>9014</v>
      </c>
      <c r="L2285" t="s">
        <v>20</v>
      </c>
      <c r="M2285" t="s">
        <v>9015</v>
      </c>
    </row>
    <row r="2286" spans="1:13" x14ac:dyDescent="0.25">
      <c r="A2286">
        <v>6751405</v>
      </c>
      <c r="B2286" t="s">
        <v>9016</v>
      </c>
      <c r="C2286" t="str">
        <f>"9783837652031"</f>
        <v>9783837652031</v>
      </c>
      <c r="D2286" t="str">
        <f>"9783839452035"</f>
        <v>9783839452035</v>
      </c>
      <c r="E2286" t="s">
        <v>8919</v>
      </c>
      <c r="F2286" s="1">
        <v>44166</v>
      </c>
      <c r="G2286" t="s">
        <v>9017</v>
      </c>
      <c r="H2286" t="s">
        <v>64</v>
      </c>
      <c r="L2286" t="s">
        <v>20</v>
      </c>
      <c r="M2286" t="s">
        <v>9018</v>
      </c>
    </row>
    <row r="2287" spans="1:13" x14ac:dyDescent="0.25">
      <c r="A2287">
        <v>6751437</v>
      </c>
      <c r="B2287" t="s">
        <v>9019</v>
      </c>
      <c r="C2287" t="str">
        <f>"9783837652451"</f>
        <v>9783837652451</v>
      </c>
      <c r="D2287" t="str">
        <f>"9783839452455"</f>
        <v>9783839452455</v>
      </c>
      <c r="E2287" t="s">
        <v>8919</v>
      </c>
      <c r="F2287" s="1">
        <v>43983</v>
      </c>
      <c r="G2287" t="s">
        <v>9020</v>
      </c>
      <c r="H2287" t="s">
        <v>16</v>
      </c>
      <c r="L2287" t="s">
        <v>291</v>
      </c>
      <c r="M2287" t="s">
        <v>9021</v>
      </c>
    </row>
    <row r="2288" spans="1:13" x14ac:dyDescent="0.25">
      <c r="A2288">
        <v>6751477</v>
      </c>
      <c r="B2288" t="s">
        <v>9022</v>
      </c>
      <c r="C2288" t="str">
        <f>"9783732856619"</f>
        <v>9783732856619</v>
      </c>
      <c r="D2288" t="str">
        <f>"9783839456613"</f>
        <v>9783839456613</v>
      </c>
      <c r="E2288" t="s">
        <v>8919</v>
      </c>
      <c r="F2288" s="1">
        <v>44317</v>
      </c>
      <c r="G2288" t="s">
        <v>9023</v>
      </c>
      <c r="H2288" t="s">
        <v>30</v>
      </c>
      <c r="L2288" t="s">
        <v>291</v>
      </c>
      <c r="M2288" t="s">
        <v>9024</v>
      </c>
    </row>
    <row r="2289" spans="1:13" x14ac:dyDescent="0.25">
      <c r="A2289">
        <v>6751646</v>
      </c>
      <c r="B2289" t="s">
        <v>9025</v>
      </c>
      <c r="C2289" t="str">
        <f>"9783837648959"</f>
        <v>9783837648959</v>
      </c>
      <c r="D2289" t="str">
        <f>"9783839448953"</f>
        <v>9783839448953</v>
      </c>
      <c r="E2289" t="s">
        <v>8919</v>
      </c>
      <c r="F2289" s="1">
        <v>43983</v>
      </c>
      <c r="G2289" t="s">
        <v>9026</v>
      </c>
      <c r="H2289" t="s">
        <v>64</v>
      </c>
      <c r="L2289" t="s">
        <v>291</v>
      </c>
      <c r="M2289" t="s">
        <v>9027</v>
      </c>
    </row>
    <row r="2290" spans="1:13" x14ac:dyDescent="0.25">
      <c r="A2290">
        <v>6751649</v>
      </c>
      <c r="B2290" t="s">
        <v>9028</v>
      </c>
      <c r="C2290" t="str">
        <f>"9783837654370"</f>
        <v>9783837654370</v>
      </c>
      <c r="D2290" t="str">
        <f>"9783839454374"</f>
        <v>9783839454374</v>
      </c>
      <c r="E2290" t="s">
        <v>8919</v>
      </c>
      <c r="F2290" s="1">
        <v>44105</v>
      </c>
      <c r="G2290" t="s">
        <v>9029</v>
      </c>
      <c r="H2290" t="s">
        <v>64</v>
      </c>
      <c r="L2290" t="s">
        <v>20</v>
      </c>
      <c r="M2290" t="s">
        <v>9030</v>
      </c>
    </row>
    <row r="2291" spans="1:13" x14ac:dyDescent="0.25">
      <c r="A2291">
        <v>6751730</v>
      </c>
      <c r="B2291" t="s">
        <v>9031</v>
      </c>
      <c r="C2291" t="str">
        <f>"9783732841196"</f>
        <v>9783732841196</v>
      </c>
      <c r="D2291" t="str">
        <f>"9783839441190"</f>
        <v>9783839441190</v>
      </c>
      <c r="E2291" t="s">
        <v>8919</v>
      </c>
      <c r="F2291" s="1">
        <v>43160</v>
      </c>
      <c r="G2291" t="s">
        <v>9032</v>
      </c>
      <c r="H2291" t="s">
        <v>30</v>
      </c>
      <c r="L2291" t="s">
        <v>291</v>
      </c>
      <c r="M2291" t="s">
        <v>9033</v>
      </c>
    </row>
    <row r="2292" spans="1:13" x14ac:dyDescent="0.25">
      <c r="A2292">
        <v>6751936</v>
      </c>
      <c r="B2292" t="s">
        <v>9034</v>
      </c>
      <c r="C2292" t="str">
        <f>"9783732856053"</f>
        <v>9783732856053</v>
      </c>
      <c r="D2292" t="str">
        <f>"9783839456057"</f>
        <v>9783839456057</v>
      </c>
      <c r="E2292" t="s">
        <v>8919</v>
      </c>
      <c r="F2292" s="1">
        <v>44348</v>
      </c>
      <c r="G2292" t="s">
        <v>9035</v>
      </c>
      <c r="H2292" t="s">
        <v>64</v>
      </c>
      <c r="L2292" t="s">
        <v>291</v>
      </c>
      <c r="M2292" t="s">
        <v>9036</v>
      </c>
    </row>
    <row r="2293" spans="1:13" x14ac:dyDescent="0.25">
      <c r="A2293">
        <v>6752054</v>
      </c>
      <c r="B2293" t="s">
        <v>9037</v>
      </c>
      <c r="C2293" t="str">
        <f>""</f>
        <v/>
      </c>
      <c r="D2293" t="str">
        <f>"9783839402597"</f>
        <v>9783839402597</v>
      </c>
      <c r="E2293" t="s">
        <v>7934</v>
      </c>
      <c r="F2293" s="1">
        <v>42272</v>
      </c>
      <c r="G2293" t="s">
        <v>9038</v>
      </c>
      <c r="H2293" t="s">
        <v>30</v>
      </c>
      <c r="L2293" t="s">
        <v>291</v>
      </c>
      <c r="M2293" t="s">
        <v>9039</v>
      </c>
    </row>
    <row r="2294" spans="1:13" x14ac:dyDescent="0.25">
      <c r="A2294">
        <v>6752094</v>
      </c>
      <c r="B2294" t="s">
        <v>9040</v>
      </c>
      <c r="C2294" t="str">
        <f>"9783837657364"</f>
        <v>9783837657364</v>
      </c>
      <c r="D2294" t="str">
        <f>"9783839457368"</f>
        <v>9783839457368</v>
      </c>
      <c r="E2294" t="s">
        <v>8919</v>
      </c>
      <c r="F2294" s="1">
        <v>44256</v>
      </c>
      <c r="G2294" t="s">
        <v>9041</v>
      </c>
      <c r="H2294" t="s">
        <v>246</v>
      </c>
      <c r="L2294" t="s">
        <v>291</v>
      </c>
      <c r="M2294" t="s">
        <v>9042</v>
      </c>
    </row>
    <row r="2295" spans="1:13" x14ac:dyDescent="0.25">
      <c r="A2295">
        <v>6752153</v>
      </c>
      <c r="B2295" t="s">
        <v>9043</v>
      </c>
      <c r="C2295" t="str">
        <f>"9783837649857"</f>
        <v>9783837649857</v>
      </c>
      <c r="D2295" t="str">
        <f>"9783839449851"</f>
        <v>9783839449851</v>
      </c>
      <c r="E2295" t="s">
        <v>8919</v>
      </c>
      <c r="F2295" s="1">
        <v>43862</v>
      </c>
      <c r="G2295" t="s">
        <v>9044</v>
      </c>
      <c r="H2295" t="s">
        <v>363</v>
      </c>
      <c r="L2295" t="s">
        <v>291</v>
      </c>
      <c r="M2295" t="s">
        <v>9045</v>
      </c>
    </row>
    <row r="2296" spans="1:13" x14ac:dyDescent="0.25">
      <c r="A2296">
        <v>6752162</v>
      </c>
      <c r="B2296" t="s">
        <v>9046</v>
      </c>
      <c r="C2296" t="str">
        <f>"9783837647426"</f>
        <v>9783837647426</v>
      </c>
      <c r="D2296" t="str">
        <f>"9783839447420"</f>
        <v>9783839447420</v>
      </c>
      <c r="E2296" t="s">
        <v>8919</v>
      </c>
      <c r="F2296" s="1">
        <v>44105</v>
      </c>
      <c r="G2296" t="s">
        <v>9047</v>
      </c>
      <c r="H2296" t="s">
        <v>310</v>
      </c>
      <c r="L2296" t="s">
        <v>291</v>
      </c>
      <c r="M2296" t="s">
        <v>9048</v>
      </c>
    </row>
    <row r="2297" spans="1:13" x14ac:dyDescent="0.25">
      <c r="A2297">
        <v>6752170</v>
      </c>
      <c r="B2297" t="s">
        <v>9049</v>
      </c>
      <c r="C2297" t="str">
        <f>"9783837651218"</f>
        <v>9783837651218</v>
      </c>
      <c r="D2297" t="str">
        <f>"9783839451212"</f>
        <v>9783839451212</v>
      </c>
      <c r="E2297" t="s">
        <v>8919</v>
      </c>
      <c r="F2297" s="1">
        <v>43952</v>
      </c>
      <c r="G2297" t="s">
        <v>9050</v>
      </c>
      <c r="H2297" t="s">
        <v>246</v>
      </c>
      <c r="L2297" t="s">
        <v>291</v>
      </c>
      <c r="M2297" t="s">
        <v>9051</v>
      </c>
    </row>
    <row r="2298" spans="1:13" x14ac:dyDescent="0.25">
      <c r="A2298">
        <v>6752238</v>
      </c>
      <c r="B2298" t="s">
        <v>9052</v>
      </c>
      <c r="C2298" t="str">
        <f>"9783837655933"</f>
        <v>9783837655933</v>
      </c>
      <c r="D2298" t="str">
        <f>"9783839455937"</f>
        <v>9783839455937</v>
      </c>
      <c r="E2298" t="s">
        <v>8919</v>
      </c>
      <c r="F2298" s="1">
        <v>44317</v>
      </c>
      <c r="G2298" t="s">
        <v>9053</v>
      </c>
      <c r="H2298" t="s">
        <v>70</v>
      </c>
      <c r="L2298" t="s">
        <v>291</v>
      </c>
      <c r="M2298" t="s">
        <v>9054</v>
      </c>
    </row>
    <row r="2299" spans="1:13" x14ac:dyDescent="0.25">
      <c r="A2299">
        <v>6752262</v>
      </c>
      <c r="B2299" t="s">
        <v>9055</v>
      </c>
      <c r="C2299" t="str">
        <f>"9783732852475"</f>
        <v>9783732852475</v>
      </c>
      <c r="D2299" t="str">
        <f>"9783839452479"</f>
        <v>9783839452479</v>
      </c>
      <c r="E2299" t="s">
        <v>8919</v>
      </c>
      <c r="F2299" s="1">
        <v>43983</v>
      </c>
      <c r="G2299" t="s">
        <v>9056</v>
      </c>
      <c r="H2299" t="s">
        <v>30</v>
      </c>
      <c r="L2299" t="s">
        <v>291</v>
      </c>
      <c r="M2299" t="s">
        <v>9057</v>
      </c>
    </row>
    <row r="2300" spans="1:13" x14ac:dyDescent="0.25">
      <c r="A2300">
        <v>6752356</v>
      </c>
      <c r="B2300" t="s">
        <v>9058</v>
      </c>
      <c r="C2300" t="str">
        <f>"9783837640304"</f>
        <v>9783837640304</v>
      </c>
      <c r="D2300" t="str">
        <f>"9783839440308"</f>
        <v>9783839440308</v>
      </c>
      <c r="E2300" t="s">
        <v>8919</v>
      </c>
      <c r="F2300" s="1">
        <v>43070</v>
      </c>
      <c r="G2300" t="s">
        <v>9059</v>
      </c>
      <c r="H2300" t="s">
        <v>64</v>
      </c>
      <c r="L2300" t="s">
        <v>291</v>
      </c>
      <c r="M2300" t="s">
        <v>9060</v>
      </c>
    </row>
    <row r="2301" spans="1:13" x14ac:dyDescent="0.25">
      <c r="A2301">
        <v>6752392</v>
      </c>
      <c r="B2301" t="s">
        <v>9061</v>
      </c>
      <c r="C2301" t="str">
        <f>"9783837654486"</f>
        <v>9783837654486</v>
      </c>
      <c r="D2301" t="str">
        <f>"9783839454480"</f>
        <v>9783839454480</v>
      </c>
      <c r="E2301" t="s">
        <v>8919</v>
      </c>
      <c r="F2301" s="1">
        <v>44317</v>
      </c>
      <c r="G2301" t="s">
        <v>9062</v>
      </c>
      <c r="H2301" t="s">
        <v>70</v>
      </c>
      <c r="L2301" t="s">
        <v>291</v>
      </c>
      <c r="M2301" t="s">
        <v>9063</v>
      </c>
    </row>
    <row r="2302" spans="1:13" x14ac:dyDescent="0.25">
      <c r="A2302">
        <v>6752410</v>
      </c>
      <c r="B2302" t="s">
        <v>9064</v>
      </c>
      <c r="C2302" t="str">
        <f>"9783837651454"</f>
        <v>9783837651454</v>
      </c>
      <c r="D2302" t="str">
        <f>"9783839451458"</f>
        <v>9783839451458</v>
      </c>
      <c r="E2302" t="s">
        <v>8919</v>
      </c>
      <c r="F2302" s="1">
        <v>44197</v>
      </c>
      <c r="G2302" t="s">
        <v>9065</v>
      </c>
      <c r="H2302" t="s">
        <v>246</v>
      </c>
      <c r="J2302" t="s">
        <v>9014</v>
      </c>
      <c r="L2302" t="s">
        <v>20</v>
      </c>
      <c r="M2302" t="s">
        <v>9066</v>
      </c>
    </row>
    <row r="2303" spans="1:13" x14ac:dyDescent="0.25">
      <c r="A2303">
        <v>6752460</v>
      </c>
      <c r="B2303" t="s">
        <v>9067</v>
      </c>
      <c r="C2303" t="str">
        <f>"9783732850167"</f>
        <v>9783732850167</v>
      </c>
      <c r="D2303" t="str">
        <f>"9783839450161"</f>
        <v>9783839450161</v>
      </c>
      <c r="E2303" t="s">
        <v>8919</v>
      </c>
      <c r="F2303" s="1">
        <v>43891</v>
      </c>
      <c r="G2303" t="s">
        <v>9068</v>
      </c>
      <c r="H2303" t="s">
        <v>30</v>
      </c>
      <c r="L2303" t="s">
        <v>291</v>
      </c>
      <c r="M2303" t="s">
        <v>9069</v>
      </c>
    </row>
    <row r="2304" spans="1:13" x14ac:dyDescent="0.25">
      <c r="A2304">
        <v>6752643</v>
      </c>
      <c r="B2304" t="s">
        <v>9070</v>
      </c>
      <c r="C2304" t="str">
        <f>"9783837642230"</f>
        <v>9783837642230</v>
      </c>
      <c r="D2304" t="str">
        <f>"9783839442234"</f>
        <v>9783839442234</v>
      </c>
      <c r="E2304" t="s">
        <v>8919</v>
      </c>
      <c r="F2304" s="1">
        <v>43221</v>
      </c>
      <c r="G2304" t="s">
        <v>9071</v>
      </c>
      <c r="H2304" t="s">
        <v>30</v>
      </c>
      <c r="L2304" t="s">
        <v>291</v>
      </c>
      <c r="M2304" t="s">
        <v>9072</v>
      </c>
    </row>
    <row r="2305" spans="1:13" x14ac:dyDescent="0.25">
      <c r="A2305">
        <v>6752683</v>
      </c>
      <c r="B2305" t="s">
        <v>9073</v>
      </c>
      <c r="C2305" t="str">
        <f>"9783837655025"</f>
        <v>9783837655025</v>
      </c>
      <c r="D2305" t="str">
        <f>"9783839455029"</f>
        <v>9783839455029</v>
      </c>
      <c r="E2305" t="s">
        <v>8919</v>
      </c>
      <c r="F2305" s="1">
        <v>44166</v>
      </c>
      <c r="G2305" t="s">
        <v>9074</v>
      </c>
      <c r="H2305" t="s">
        <v>806</v>
      </c>
      <c r="L2305" t="s">
        <v>20</v>
      </c>
      <c r="M2305" t="s">
        <v>9075</v>
      </c>
    </row>
    <row r="2306" spans="1:13" x14ac:dyDescent="0.25">
      <c r="A2306">
        <v>6752765</v>
      </c>
      <c r="B2306" t="s">
        <v>9076</v>
      </c>
      <c r="C2306" t="str">
        <f>"9783732853182"</f>
        <v>9783732853182</v>
      </c>
      <c r="D2306" t="str">
        <f>"9783839453186"</f>
        <v>9783839453186</v>
      </c>
      <c r="E2306" t="s">
        <v>8919</v>
      </c>
      <c r="F2306" s="1">
        <v>44013</v>
      </c>
      <c r="G2306" t="s">
        <v>9077</v>
      </c>
      <c r="H2306" t="s">
        <v>363</v>
      </c>
      <c r="I2306" t="s">
        <v>9078</v>
      </c>
      <c r="L2306" t="s">
        <v>291</v>
      </c>
      <c r="M2306" t="s">
        <v>9079</v>
      </c>
    </row>
    <row r="2307" spans="1:13" x14ac:dyDescent="0.25">
      <c r="A2307">
        <v>6752817</v>
      </c>
      <c r="B2307" t="s">
        <v>9080</v>
      </c>
      <c r="C2307" t="str">
        <f>"9783837656923"</f>
        <v>9783837656923</v>
      </c>
      <c r="D2307" t="str">
        <f>"9783839456927"</f>
        <v>9783839456927</v>
      </c>
      <c r="E2307" t="s">
        <v>8919</v>
      </c>
      <c r="F2307" s="1">
        <v>44256</v>
      </c>
      <c r="G2307" t="s">
        <v>9082</v>
      </c>
      <c r="H2307" t="s">
        <v>64</v>
      </c>
      <c r="L2307" t="s">
        <v>291</v>
      </c>
      <c r="M2307" t="s">
        <v>9083</v>
      </c>
    </row>
    <row r="2308" spans="1:13" x14ac:dyDescent="0.25">
      <c r="A2308">
        <v>6752878</v>
      </c>
      <c r="B2308" t="s">
        <v>9084</v>
      </c>
      <c r="C2308" t="str">
        <f>"9783837653229"</f>
        <v>9783837653229</v>
      </c>
      <c r="D2308" t="str">
        <f>"9783839453223"</f>
        <v>9783839453223</v>
      </c>
      <c r="E2308" t="s">
        <v>8919</v>
      </c>
      <c r="F2308" s="1">
        <v>44075</v>
      </c>
      <c r="G2308" t="s">
        <v>9085</v>
      </c>
      <c r="H2308" t="s">
        <v>246</v>
      </c>
      <c r="L2308" t="s">
        <v>291</v>
      </c>
      <c r="M2308" t="s">
        <v>9086</v>
      </c>
    </row>
    <row r="2309" spans="1:13" x14ac:dyDescent="0.25">
      <c r="A2309">
        <v>6752904</v>
      </c>
      <c r="B2309" t="s">
        <v>9087</v>
      </c>
      <c r="C2309" t="str">
        <f>"9783837653496"</f>
        <v>9783837653496</v>
      </c>
      <c r="D2309" t="str">
        <f>"9783839453490"</f>
        <v>9783839453490</v>
      </c>
      <c r="E2309" t="s">
        <v>8919</v>
      </c>
      <c r="F2309" s="1">
        <v>44317</v>
      </c>
      <c r="G2309" t="s">
        <v>9088</v>
      </c>
      <c r="H2309" t="s">
        <v>64</v>
      </c>
      <c r="L2309" t="s">
        <v>20</v>
      </c>
      <c r="M2309" t="s">
        <v>9089</v>
      </c>
    </row>
    <row r="2310" spans="1:13" x14ac:dyDescent="0.25">
      <c r="A2310">
        <v>6752967</v>
      </c>
      <c r="B2310" t="s">
        <v>9090</v>
      </c>
      <c r="C2310" t="str">
        <f>"9783732856459"</f>
        <v>9783732856459</v>
      </c>
      <c r="D2310" t="str">
        <f>"9783839456453"</f>
        <v>9783839456453</v>
      </c>
      <c r="E2310" t="s">
        <v>8919</v>
      </c>
      <c r="F2310" s="1">
        <v>44256</v>
      </c>
      <c r="G2310" t="s">
        <v>9091</v>
      </c>
      <c r="H2310" t="s">
        <v>64</v>
      </c>
      <c r="L2310" t="s">
        <v>291</v>
      </c>
      <c r="M2310" t="s">
        <v>9092</v>
      </c>
    </row>
    <row r="2311" spans="1:13" x14ac:dyDescent="0.25">
      <c r="A2311">
        <v>6753120</v>
      </c>
      <c r="B2311" t="s">
        <v>9093</v>
      </c>
      <c r="C2311" t="str">
        <f>"9783732851584"</f>
        <v>9783732851584</v>
      </c>
      <c r="D2311" t="str">
        <f>"9783839451588"</f>
        <v>9783839451588</v>
      </c>
      <c r="E2311" t="s">
        <v>8919</v>
      </c>
      <c r="F2311" s="1">
        <v>43952</v>
      </c>
      <c r="G2311" t="s">
        <v>9094</v>
      </c>
      <c r="H2311" t="s">
        <v>30</v>
      </c>
      <c r="L2311" t="s">
        <v>291</v>
      </c>
      <c r="M2311" t="s">
        <v>9095</v>
      </c>
    </row>
    <row r="2312" spans="1:13" x14ac:dyDescent="0.25">
      <c r="A2312">
        <v>6753123</v>
      </c>
      <c r="B2312" t="s">
        <v>9096</v>
      </c>
      <c r="C2312" t="str">
        <f>"9783837651805"</f>
        <v>9783837651805</v>
      </c>
      <c r="D2312" t="str">
        <f>"9783839451809"</f>
        <v>9783839451809</v>
      </c>
      <c r="E2312" t="s">
        <v>8919</v>
      </c>
      <c r="F2312" s="1">
        <v>43983</v>
      </c>
      <c r="G2312" t="s">
        <v>9097</v>
      </c>
      <c r="H2312" t="s">
        <v>64</v>
      </c>
      <c r="L2312" t="s">
        <v>291</v>
      </c>
      <c r="M2312" t="s">
        <v>9098</v>
      </c>
    </row>
    <row r="2313" spans="1:13" x14ac:dyDescent="0.25">
      <c r="A2313">
        <v>6753189</v>
      </c>
      <c r="B2313" t="s">
        <v>9099</v>
      </c>
      <c r="C2313" t="str">
        <f>"9783837657654"</f>
        <v>9783837657654</v>
      </c>
      <c r="D2313" t="str">
        <f>"9783839457658"</f>
        <v>9783839457658</v>
      </c>
      <c r="E2313" t="s">
        <v>8919</v>
      </c>
      <c r="F2313" s="1">
        <v>44317</v>
      </c>
      <c r="G2313" t="s">
        <v>9100</v>
      </c>
      <c r="H2313" t="s">
        <v>246</v>
      </c>
      <c r="L2313" t="s">
        <v>291</v>
      </c>
      <c r="M2313" t="s">
        <v>9101</v>
      </c>
    </row>
    <row r="2314" spans="1:13" x14ac:dyDescent="0.25">
      <c r="A2314">
        <v>6753200</v>
      </c>
      <c r="B2314" t="s">
        <v>9102</v>
      </c>
      <c r="C2314" t="str">
        <f>"9783732857166"</f>
        <v>9783732857166</v>
      </c>
      <c r="D2314" t="str">
        <f>"9783839457160"</f>
        <v>9783839457160</v>
      </c>
      <c r="E2314" t="s">
        <v>8919</v>
      </c>
      <c r="F2314" s="1">
        <v>44287</v>
      </c>
      <c r="G2314" t="s">
        <v>9103</v>
      </c>
      <c r="H2314" t="s">
        <v>70</v>
      </c>
      <c r="L2314" t="s">
        <v>291</v>
      </c>
      <c r="M2314" t="s">
        <v>9104</v>
      </c>
    </row>
    <row r="2315" spans="1:13" x14ac:dyDescent="0.25">
      <c r="A2315">
        <v>6753232</v>
      </c>
      <c r="B2315" t="s">
        <v>9105</v>
      </c>
      <c r="C2315" t="str">
        <f>"9783732853472"</f>
        <v>9783732853472</v>
      </c>
      <c r="D2315" t="str">
        <f>"9783839453476"</f>
        <v>9783839453476</v>
      </c>
      <c r="E2315" t="s">
        <v>8919</v>
      </c>
      <c r="F2315" s="1">
        <v>44105</v>
      </c>
      <c r="G2315" t="s">
        <v>9106</v>
      </c>
      <c r="H2315" t="s">
        <v>363</v>
      </c>
      <c r="I2315" t="s">
        <v>9107</v>
      </c>
      <c r="L2315" t="s">
        <v>291</v>
      </c>
      <c r="M2315" t="s">
        <v>9108</v>
      </c>
    </row>
    <row r="2316" spans="1:13" x14ac:dyDescent="0.25">
      <c r="A2316">
        <v>6753359</v>
      </c>
      <c r="B2316" t="s">
        <v>9109</v>
      </c>
      <c r="C2316" t="str">
        <f>"9783837657685"</f>
        <v>9783837657685</v>
      </c>
      <c r="D2316" t="str">
        <f>"9783839457689"</f>
        <v>9783839457689</v>
      </c>
      <c r="E2316" t="s">
        <v>8919</v>
      </c>
      <c r="F2316" s="1">
        <v>44317</v>
      </c>
      <c r="G2316" t="s">
        <v>9110</v>
      </c>
      <c r="H2316" t="s">
        <v>139</v>
      </c>
      <c r="L2316" t="s">
        <v>291</v>
      </c>
      <c r="M2316" t="s">
        <v>9111</v>
      </c>
    </row>
    <row r="2317" spans="1:13" x14ac:dyDescent="0.25">
      <c r="A2317">
        <v>6753457</v>
      </c>
      <c r="B2317" t="s">
        <v>9112</v>
      </c>
      <c r="C2317" t="str">
        <f>"9783837638608"</f>
        <v>9783837638608</v>
      </c>
      <c r="D2317" t="str">
        <f>"9783839438602"</f>
        <v>9783839438602</v>
      </c>
      <c r="E2317" t="s">
        <v>8919</v>
      </c>
      <c r="F2317" s="1">
        <v>43191</v>
      </c>
      <c r="G2317" t="s">
        <v>9113</v>
      </c>
      <c r="H2317" t="s">
        <v>64</v>
      </c>
      <c r="L2317" t="s">
        <v>291</v>
      </c>
      <c r="M2317" t="s">
        <v>9114</v>
      </c>
    </row>
    <row r="2318" spans="1:13" x14ac:dyDescent="0.25">
      <c r="A2318">
        <v>6753578</v>
      </c>
      <c r="B2318" t="s">
        <v>9115</v>
      </c>
      <c r="C2318" t="str">
        <f>"9783837655452"</f>
        <v>9783837655452</v>
      </c>
      <c r="D2318" t="str">
        <f>"9783839455456"</f>
        <v>9783839455456</v>
      </c>
      <c r="E2318" t="s">
        <v>8919</v>
      </c>
      <c r="F2318" s="1">
        <v>44197</v>
      </c>
      <c r="G2318" t="s">
        <v>9116</v>
      </c>
      <c r="H2318" t="s">
        <v>4161</v>
      </c>
      <c r="L2318" t="s">
        <v>291</v>
      </c>
      <c r="M2318" t="s">
        <v>9117</v>
      </c>
    </row>
    <row r="2319" spans="1:13" x14ac:dyDescent="0.25">
      <c r="A2319">
        <v>6753616</v>
      </c>
      <c r="B2319" t="s">
        <v>9118</v>
      </c>
      <c r="C2319" t="str">
        <f>"9783732857135"</f>
        <v>9783732857135</v>
      </c>
      <c r="D2319" t="str">
        <f>"9783839457139"</f>
        <v>9783839457139</v>
      </c>
      <c r="E2319" t="s">
        <v>8919</v>
      </c>
      <c r="F2319" s="1">
        <v>44317</v>
      </c>
      <c r="G2319" t="s">
        <v>9119</v>
      </c>
      <c r="H2319" t="s">
        <v>30</v>
      </c>
      <c r="L2319" t="s">
        <v>291</v>
      </c>
      <c r="M2319" t="s">
        <v>9120</v>
      </c>
    </row>
    <row r="2320" spans="1:13" x14ac:dyDescent="0.25">
      <c r="A2320">
        <v>6753625</v>
      </c>
      <c r="B2320" t="s">
        <v>9121</v>
      </c>
      <c r="C2320" t="str">
        <f>"9783837652307"</f>
        <v>9783837652307</v>
      </c>
      <c r="D2320" t="str">
        <f>"9783839452301"</f>
        <v>9783839452301</v>
      </c>
      <c r="E2320" t="s">
        <v>8919</v>
      </c>
      <c r="F2320" s="1">
        <v>43952</v>
      </c>
      <c r="G2320" t="s">
        <v>9122</v>
      </c>
      <c r="H2320" t="s">
        <v>64</v>
      </c>
      <c r="L2320" t="s">
        <v>291</v>
      </c>
      <c r="M2320" t="s">
        <v>9123</v>
      </c>
    </row>
    <row r="2321" spans="1:13" x14ac:dyDescent="0.25">
      <c r="A2321">
        <v>6753709</v>
      </c>
      <c r="B2321" t="s">
        <v>9124</v>
      </c>
      <c r="C2321" t="str">
        <f>"9783837657869"</f>
        <v>9783837657869</v>
      </c>
      <c r="D2321" t="str">
        <f>"9783839457863"</f>
        <v>9783839457863</v>
      </c>
      <c r="E2321" t="s">
        <v>8919</v>
      </c>
      <c r="F2321" s="1">
        <v>44348</v>
      </c>
      <c r="G2321" t="s">
        <v>9125</v>
      </c>
      <c r="H2321" t="s">
        <v>30</v>
      </c>
      <c r="L2321" t="s">
        <v>291</v>
      </c>
      <c r="M2321" t="s">
        <v>9126</v>
      </c>
    </row>
    <row r="2322" spans="1:13" x14ac:dyDescent="0.25">
      <c r="A2322">
        <v>6753721</v>
      </c>
      <c r="B2322" t="s">
        <v>9127</v>
      </c>
      <c r="C2322" t="str">
        <f>"9783732851317"</f>
        <v>9783732851317</v>
      </c>
      <c r="D2322" t="str">
        <f>"9783839451311"</f>
        <v>9783839451311</v>
      </c>
      <c r="E2322" t="s">
        <v>8919</v>
      </c>
      <c r="F2322" s="1">
        <v>43922</v>
      </c>
      <c r="G2322" t="s">
        <v>9128</v>
      </c>
      <c r="H2322" t="s">
        <v>30</v>
      </c>
      <c r="L2322" t="s">
        <v>291</v>
      </c>
      <c r="M2322" t="s">
        <v>9129</v>
      </c>
    </row>
    <row r="2323" spans="1:13" x14ac:dyDescent="0.25">
      <c r="A2323">
        <v>6753907</v>
      </c>
      <c r="B2323" t="s">
        <v>9130</v>
      </c>
      <c r="C2323" t="str">
        <f>"9783837656893"</f>
        <v>9783837656893</v>
      </c>
      <c r="D2323" t="str">
        <f>"9783839456897"</f>
        <v>9783839456897</v>
      </c>
      <c r="E2323" t="s">
        <v>8919</v>
      </c>
      <c r="F2323" s="1">
        <v>44317</v>
      </c>
      <c r="G2323" t="s">
        <v>9131</v>
      </c>
      <c r="H2323" t="s">
        <v>70</v>
      </c>
      <c r="L2323" t="s">
        <v>20</v>
      </c>
      <c r="M2323" t="s">
        <v>9132</v>
      </c>
    </row>
    <row r="2324" spans="1:13" x14ac:dyDescent="0.25">
      <c r="A2324">
        <v>6753948</v>
      </c>
      <c r="B2324" t="s">
        <v>9133</v>
      </c>
      <c r="C2324" t="str">
        <f>"9783837652505"</f>
        <v>9783837652505</v>
      </c>
      <c r="D2324" t="str">
        <f>"9783839452509"</f>
        <v>9783839452509</v>
      </c>
      <c r="E2324" t="s">
        <v>8919</v>
      </c>
      <c r="F2324" s="1">
        <v>44166</v>
      </c>
      <c r="G2324" t="s">
        <v>9134</v>
      </c>
      <c r="H2324" t="s">
        <v>64</v>
      </c>
      <c r="L2324" t="s">
        <v>291</v>
      </c>
      <c r="M2324" t="s">
        <v>9135</v>
      </c>
    </row>
    <row r="2325" spans="1:13" x14ac:dyDescent="0.25">
      <c r="A2325">
        <v>6754027</v>
      </c>
      <c r="B2325" t="s">
        <v>9136</v>
      </c>
      <c r="C2325" t="str">
        <f>"9783837640588"</f>
        <v>9783837640588</v>
      </c>
      <c r="D2325" t="str">
        <f>"9783839440582"</f>
        <v>9783839440582</v>
      </c>
      <c r="E2325" t="s">
        <v>8919</v>
      </c>
      <c r="F2325" s="1">
        <v>43070</v>
      </c>
      <c r="G2325" t="s">
        <v>9137</v>
      </c>
      <c r="H2325" t="s">
        <v>64</v>
      </c>
      <c r="L2325" t="s">
        <v>291</v>
      </c>
      <c r="M2325" t="s">
        <v>9138</v>
      </c>
    </row>
    <row r="2326" spans="1:13" x14ac:dyDescent="0.25">
      <c r="A2326">
        <v>6754031</v>
      </c>
      <c r="B2326" t="s">
        <v>9139</v>
      </c>
      <c r="C2326" t="str">
        <f>"9783732853656"</f>
        <v>9783732853656</v>
      </c>
      <c r="D2326" t="str">
        <f>"9783839453650"</f>
        <v>9783839453650</v>
      </c>
      <c r="E2326" t="s">
        <v>8919</v>
      </c>
      <c r="F2326" s="1">
        <v>44075</v>
      </c>
      <c r="G2326" t="s">
        <v>9140</v>
      </c>
      <c r="H2326" t="s">
        <v>16</v>
      </c>
      <c r="L2326" t="s">
        <v>291</v>
      </c>
      <c r="M2326" t="s">
        <v>9141</v>
      </c>
    </row>
    <row r="2327" spans="1:13" x14ac:dyDescent="0.25">
      <c r="A2327">
        <v>6754117</v>
      </c>
      <c r="B2327" t="s">
        <v>9142</v>
      </c>
      <c r="C2327" t="str">
        <f>"9783837642001"</f>
        <v>9783837642001</v>
      </c>
      <c r="D2327" t="str">
        <f>"9783839442005"</f>
        <v>9783839442005</v>
      </c>
      <c r="E2327" t="s">
        <v>8919</v>
      </c>
      <c r="F2327" s="1">
        <v>43282</v>
      </c>
      <c r="G2327" t="s">
        <v>9143</v>
      </c>
      <c r="H2327" t="s">
        <v>30</v>
      </c>
      <c r="L2327" t="s">
        <v>291</v>
      </c>
      <c r="M2327" t="s">
        <v>9144</v>
      </c>
    </row>
    <row r="2328" spans="1:13" x14ac:dyDescent="0.25">
      <c r="A2328">
        <v>6754158</v>
      </c>
      <c r="B2328" t="s">
        <v>9145</v>
      </c>
      <c r="C2328" t="str">
        <f>"9783837648621"</f>
        <v>9783837648621</v>
      </c>
      <c r="D2328" t="str">
        <f>"9783839448625"</f>
        <v>9783839448625</v>
      </c>
      <c r="E2328" t="s">
        <v>8919</v>
      </c>
      <c r="F2328" s="1">
        <v>44105</v>
      </c>
      <c r="G2328" t="s">
        <v>9146</v>
      </c>
      <c r="H2328" t="s">
        <v>64</v>
      </c>
      <c r="L2328" t="s">
        <v>291</v>
      </c>
      <c r="M2328" t="s">
        <v>9147</v>
      </c>
    </row>
    <row r="2329" spans="1:13" x14ac:dyDescent="0.25">
      <c r="A2329">
        <v>6754232</v>
      </c>
      <c r="B2329" t="s">
        <v>9148</v>
      </c>
      <c r="C2329" t="str">
        <f>"9783837649093"</f>
        <v>9783837649093</v>
      </c>
      <c r="D2329" t="str">
        <f>"9783839449097"</f>
        <v>9783839449097</v>
      </c>
      <c r="E2329" t="s">
        <v>8919</v>
      </c>
      <c r="F2329" s="1">
        <v>43831</v>
      </c>
      <c r="G2329" t="s">
        <v>9149</v>
      </c>
      <c r="H2329" t="s">
        <v>64</v>
      </c>
      <c r="L2329" t="s">
        <v>291</v>
      </c>
      <c r="M2329" t="s">
        <v>9150</v>
      </c>
    </row>
    <row r="2330" spans="1:13" x14ac:dyDescent="0.25">
      <c r="A2330">
        <v>6754286</v>
      </c>
      <c r="B2330" t="s">
        <v>9151</v>
      </c>
      <c r="C2330" t="str">
        <f>""</f>
        <v/>
      </c>
      <c r="D2330" t="str">
        <f>"9780824873998"</f>
        <v>9780824873998</v>
      </c>
      <c r="E2330" t="s">
        <v>9152</v>
      </c>
      <c r="F2330" s="1">
        <v>38384</v>
      </c>
      <c r="G2330" t="s">
        <v>9153</v>
      </c>
      <c r="H2330" t="s">
        <v>16</v>
      </c>
      <c r="J2330" t="s">
        <v>9154</v>
      </c>
      <c r="L2330" t="s">
        <v>20</v>
      </c>
      <c r="M2330" t="s">
        <v>9155</v>
      </c>
    </row>
    <row r="2331" spans="1:13" x14ac:dyDescent="0.25">
      <c r="A2331">
        <v>6754564</v>
      </c>
      <c r="B2331" t="s">
        <v>9156</v>
      </c>
      <c r="C2331" t="str">
        <f>"9783732854332"</f>
        <v>9783732854332</v>
      </c>
      <c r="D2331" t="str">
        <f>"9783839454336"</f>
        <v>9783839454336</v>
      </c>
      <c r="E2331" t="s">
        <v>8919</v>
      </c>
      <c r="F2331" s="1">
        <v>44348</v>
      </c>
      <c r="G2331" t="s">
        <v>9157</v>
      </c>
      <c r="H2331" t="s">
        <v>30</v>
      </c>
      <c r="L2331" t="s">
        <v>20</v>
      </c>
      <c r="M2331" t="s">
        <v>9158</v>
      </c>
    </row>
    <row r="2332" spans="1:13" x14ac:dyDescent="0.25">
      <c r="A2332">
        <v>6754585</v>
      </c>
      <c r="B2332" t="s">
        <v>9159</v>
      </c>
      <c r="C2332" t="str">
        <f>"9783837649499"</f>
        <v>9783837649499</v>
      </c>
      <c r="D2332" t="str">
        <f>"9783839449493"</f>
        <v>9783839449493</v>
      </c>
      <c r="E2332" t="s">
        <v>8919</v>
      </c>
      <c r="F2332" s="1">
        <v>44197</v>
      </c>
      <c r="G2332" t="s">
        <v>9160</v>
      </c>
      <c r="H2332" t="s">
        <v>30</v>
      </c>
      <c r="L2332" t="s">
        <v>20</v>
      </c>
      <c r="M2332" t="s">
        <v>9161</v>
      </c>
    </row>
    <row r="2333" spans="1:13" x14ac:dyDescent="0.25">
      <c r="A2333">
        <v>6754848</v>
      </c>
      <c r="B2333" t="s">
        <v>9162</v>
      </c>
      <c r="C2333" t="str">
        <f>"9783837651645"</f>
        <v>9783837651645</v>
      </c>
      <c r="D2333" t="str">
        <f>"9783839451649"</f>
        <v>9783839451649</v>
      </c>
      <c r="E2333" t="s">
        <v>8919</v>
      </c>
      <c r="F2333" s="1">
        <v>43952</v>
      </c>
      <c r="G2333" t="s">
        <v>9163</v>
      </c>
      <c r="H2333" t="s">
        <v>246</v>
      </c>
      <c r="L2333" t="s">
        <v>291</v>
      </c>
      <c r="M2333" t="s">
        <v>9164</v>
      </c>
    </row>
    <row r="2334" spans="1:13" x14ac:dyDescent="0.25">
      <c r="A2334">
        <v>6754871</v>
      </c>
      <c r="B2334" t="s">
        <v>9165</v>
      </c>
      <c r="C2334" t="str">
        <f>"9783837655070"</f>
        <v>9783837655070</v>
      </c>
      <c r="D2334" t="str">
        <f>"9783839455074"</f>
        <v>9783839455074</v>
      </c>
      <c r="E2334" t="s">
        <v>8919</v>
      </c>
      <c r="F2334" s="1">
        <v>44348</v>
      </c>
      <c r="G2334" t="s">
        <v>9166</v>
      </c>
      <c r="H2334" t="s">
        <v>310</v>
      </c>
      <c r="I2334" t="s">
        <v>9167</v>
      </c>
      <c r="L2334" t="s">
        <v>291</v>
      </c>
      <c r="M2334" t="s">
        <v>9168</v>
      </c>
    </row>
    <row r="2335" spans="1:13" x14ac:dyDescent="0.25">
      <c r="A2335">
        <v>6754901</v>
      </c>
      <c r="B2335" t="s">
        <v>9169</v>
      </c>
      <c r="C2335" t="str">
        <f>"9783837651904"</f>
        <v>9783837651904</v>
      </c>
      <c r="D2335" t="str">
        <f>"9783839451908"</f>
        <v>9783839451908</v>
      </c>
      <c r="E2335" t="s">
        <v>8919</v>
      </c>
      <c r="F2335" s="1">
        <v>44013</v>
      </c>
      <c r="G2335" t="s">
        <v>9170</v>
      </c>
      <c r="H2335" t="s">
        <v>310</v>
      </c>
      <c r="L2335" t="s">
        <v>291</v>
      </c>
      <c r="M2335" t="s">
        <v>9171</v>
      </c>
    </row>
    <row r="2336" spans="1:13" x14ac:dyDescent="0.25">
      <c r="A2336">
        <v>6754953</v>
      </c>
      <c r="B2336" t="s">
        <v>9172</v>
      </c>
      <c r="C2336" t="str">
        <f>"9783837648652"</f>
        <v>9783837648652</v>
      </c>
      <c r="D2336" t="str">
        <f>"9783839448656"</f>
        <v>9783839448656</v>
      </c>
      <c r="E2336" t="s">
        <v>8919</v>
      </c>
      <c r="F2336" s="1">
        <v>43831</v>
      </c>
      <c r="G2336" t="s">
        <v>9173</v>
      </c>
      <c r="H2336" t="s">
        <v>246</v>
      </c>
      <c r="L2336" t="s">
        <v>291</v>
      </c>
      <c r="M2336" t="s">
        <v>9174</v>
      </c>
    </row>
    <row r="2337" spans="1:13" x14ac:dyDescent="0.25">
      <c r="A2337">
        <v>6754966</v>
      </c>
      <c r="B2337" t="s">
        <v>9175</v>
      </c>
      <c r="C2337" t="str">
        <f>"9783732853168"</f>
        <v>9783732853168</v>
      </c>
      <c r="D2337" t="str">
        <f>"9783839453162"</f>
        <v>9783839453162</v>
      </c>
      <c r="E2337" t="s">
        <v>8919</v>
      </c>
      <c r="F2337" s="1">
        <v>44013</v>
      </c>
      <c r="G2337" t="s">
        <v>9176</v>
      </c>
      <c r="H2337" t="s">
        <v>30</v>
      </c>
      <c r="L2337" t="s">
        <v>291</v>
      </c>
      <c r="M2337" t="s">
        <v>9177</v>
      </c>
    </row>
    <row r="2338" spans="1:13" x14ac:dyDescent="0.25">
      <c r="A2338">
        <v>6755145</v>
      </c>
      <c r="B2338" t="s">
        <v>9178</v>
      </c>
      <c r="C2338" t="str">
        <f>"9783837656381"</f>
        <v>9783837656381</v>
      </c>
      <c r="D2338" t="str">
        <f>"9783839456385"</f>
        <v>9783839456385</v>
      </c>
      <c r="E2338" t="s">
        <v>8919</v>
      </c>
      <c r="F2338" s="1">
        <v>44228</v>
      </c>
      <c r="G2338" t="s">
        <v>9179</v>
      </c>
      <c r="H2338" t="s">
        <v>363</v>
      </c>
      <c r="L2338" t="s">
        <v>291</v>
      </c>
      <c r="M2338" t="s">
        <v>9180</v>
      </c>
    </row>
    <row r="2339" spans="1:13" x14ac:dyDescent="0.25">
      <c r="A2339">
        <v>6755253</v>
      </c>
      <c r="B2339" t="s">
        <v>9181</v>
      </c>
      <c r="C2339" t="str">
        <f>"9783837656961"</f>
        <v>9783837656961</v>
      </c>
      <c r="D2339" t="str">
        <f>"9783839456965"</f>
        <v>9783839456965</v>
      </c>
      <c r="E2339" t="s">
        <v>8919</v>
      </c>
      <c r="F2339" s="1">
        <v>44287</v>
      </c>
      <c r="G2339" t="s">
        <v>9179</v>
      </c>
      <c r="H2339" t="s">
        <v>363</v>
      </c>
      <c r="L2339" t="s">
        <v>20</v>
      </c>
      <c r="M2339" t="s">
        <v>9182</v>
      </c>
    </row>
    <row r="2340" spans="1:13" x14ac:dyDescent="0.25">
      <c r="A2340">
        <v>6755439</v>
      </c>
      <c r="B2340" t="s">
        <v>9183</v>
      </c>
      <c r="C2340" t="str">
        <f>"9783837647884"</f>
        <v>9783837647884</v>
      </c>
      <c r="D2340" t="str">
        <f>"9783839447888"</f>
        <v>9783839447888</v>
      </c>
      <c r="E2340" t="s">
        <v>8919</v>
      </c>
      <c r="F2340" s="1">
        <v>44105</v>
      </c>
      <c r="G2340" t="s">
        <v>9184</v>
      </c>
      <c r="H2340" t="s">
        <v>5892</v>
      </c>
      <c r="I2340" t="s">
        <v>9185</v>
      </c>
      <c r="L2340" t="s">
        <v>20</v>
      </c>
      <c r="M2340" t="s">
        <v>9186</v>
      </c>
    </row>
    <row r="2341" spans="1:13" x14ac:dyDescent="0.25">
      <c r="A2341">
        <v>6755449</v>
      </c>
      <c r="B2341" t="s">
        <v>9187</v>
      </c>
      <c r="C2341" t="str">
        <f>"9783732851706"</f>
        <v>9783732851706</v>
      </c>
      <c r="D2341" t="str">
        <f>"9783839451700"</f>
        <v>9783839451700</v>
      </c>
      <c r="E2341" t="s">
        <v>8919</v>
      </c>
      <c r="F2341" s="1">
        <v>43952</v>
      </c>
      <c r="G2341" t="s">
        <v>9188</v>
      </c>
      <c r="H2341" t="s">
        <v>363</v>
      </c>
      <c r="L2341" t="s">
        <v>291</v>
      </c>
      <c r="M2341" t="s">
        <v>9189</v>
      </c>
    </row>
    <row r="2342" spans="1:13" x14ac:dyDescent="0.25">
      <c r="A2342">
        <v>6755569</v>
      </c>
      <c r="B2342" t="s">
        <v>9190</v>
      </c>
      <c r="C2342" t="str">
        <f>"9783837656930"</f>
        <v>9783837656930</v>
      </c>
      <c r="D2342" t="str">
        <f>"9783839456934"</f>
        <v>9783839456934</v>
      </c>
      <c r="E2342" t="s">
        <v>8919</v>
      </c>
      <c r="F2342" s="1">
        <v>44317</v>
      </c>
      <c r="G2342" t="s">
        <v>9191</v>
      </c>
      <c r="H2342" t="s">
        <v>139</v>
      </c>
      <c r="L2342" t="s">
        <v>291</v>
      </c>
      <c r="M2342" t="s">
        <v>9192</v>
      </c>
    </row>
    <row r="2343" spans="1:13" x14ac:dyDescent="0.25">
      <c r="A2343">
        <v>6755614</v>
      </c>
      <c r="B2343" t="s">
        <v>9193</v>
      </c>
      <c r="C2343" t="str">
        <f>"9783732850679"</f>
        <v>9783732850679</v>
      </c>
      <c r="D2343" t="str">
        <f>"9783839450673"</f>
        <v>9783839450673</v>
      </c>
      <c r="E2343" t="s">
        <v>8919</v>
      </c>
      <c r="F2343" s="1">
        <v>43983</v>
      </c>
      <c r="G2343" t="s">
        <v>9194</v>
      </c>
      <c r="H2343" t="s">
        <v>30</v>
      </c>
      <c r="L2343" t="s">
        <v>291</v>
      </c>
      <c r="M2343" t="s">
        <v>9195</v>
      </c>
    </row>
    <row r="2344" spans="1:13" x14ac:dyDescent="0.25">
      <c r="A2344">
        <v>6755640</v>
      </c>
      <c r="B2344" t="s">
        <v>9196</v>
      </c>
      <c r="C2344" t="str">
        <f>"9783837646504"</f>
        <v>9783837646504</v>
      </c>
      <c r="D2344" t="str">
        <f>"9783839446508"</f>
        <v>9783839446508</v>
      </c>
      <c r="E2344" t="s">
        <v>8919</v>
      </c>
      <c r="F2344" s="1">
        <v>44013</v>
      </c>
      <c r="G2344" t="s">
        <v>9197</v>
      </c>
      <c r="H2344" t="s">
        <v>70</v>
      </c>
      <c r="L2344" t="s">
        <v>20</v>
      </c>
      <c r="M2344" t="s">
        <v>9198</v>
      </c>
    </row>
    <row r="2345" spans="1:13" x14ac:dyDescent="0.25">
      <c r="A2345">
        <v>6755689</v>
      </c>
      <c r="B2345" t="s">
        <v>9199</v>
      </c>
      <c r="C2345" t="str">
        <f>"9783837653342"</f>
        <v>9783837653342</v>
      </c>
      <c r="D2345" t="str">
        <f>"9783839453346"</f>
        <v>9783839453346</v>
      </c>
      <c r="E2345" t="s">
        <v>8919</v>
      </c>
      <c r="F2345" s="1">
        <v>44228</v>
      </c>
      <c r="G2345" t="s">
        <v>9200</v>
      </c>
      <c r="H2345" t="s">
        <v>30</v>
      </c>
      <c r="L2345" t="s">
        <v>291</v>
      </c>
      <c r="M2345" t="s">
        <v>9201</v>
      </c>
    </row>
    <row r="2346" spans="1:13" x14ac:dyDescent="0.25">
      <c r="A2346">
        <v>6755768</v>
      </c>
      <c r="B2346" t="s">
        <v>9202</v>
      </c>
      <c r="C2346" t="str">
        <f>"9783837658293"</f>
        <v>9783837658293</v>
      </c>
      <c r="D2346" t="str">
        <f>"9783839458297"</f>
        <v>9783839458297</v>
      </c>
      <c r="E2346" t="s">
        <v>8919</v>
      </c>
      <c r="F2346" s="1">
        <v>44348</v>
      </c>
      <c r="G2346" t="s">
        <v>9203</v>
      </c>
      <c r="H2346" t="s">
        <v>246</v>
      </c>
      <c r="L2346" t="s">
        <v>291</v>
      </c>
      <c r="M2346" t="s">
        <v>9204</v>
      </c>
    </row>
    <row r="2347" spans="1:13" x14ac:dyDescent="0.25">
      <c r="A2347">
        <v>6755797</v>
      </c>
      <c r="B2347" t="s">
        <v>9205</v>
      </c>
      <c r="C2347" t="str">
        <f>"9783837637625"</f>
        <v>9783837637625</v>
      </c>
      <c r="D2347" t="str">
        <f>"9783839437629"</f>
        <v>9783839437629</v>
      </c>
      <c r="E2347" t="s">
        <v>8919</v>
      </c>
      <c r="F2347" s="1">
        <v>43160</v>
      </c>
      <c r="G2347" t="s">
        <v>9206</v>
      </c>
      <c r="H2347" t="s">
        <v>64</v>
      </c>
      <c r="L2347" t="s">
        <v>20</v>
      </c>
      <c r="M2347" t="s">
        <v>9207</v>
      </c>
    </row>
    <row r="2348" spans="1:13" x14ac:dyDescent="0.25">
      <c r="A2348">
        <v>6755980</v>
      </c>
      <c r="B2348" t="s">
        <v>9208</v>
      </c>
      <c r="C2348" t="str">
        <f>"9783732850112"</f>
        <v>9783732850112</v>
      </c>
      <c r="D2348" t="str">
        <f>"9783839450116"</f>
        <v>9783839450116</v>
      </c>
      <c r="E2348" t="s">
        <v>8919</v>
      </c>
      <c r="F2348" s="1">
        <v>43891</v>
      </c>
      <c r="G2348" t="s">
        <v>9209</v>
      </c>
      <c r="H2348" t="s">
        <v>30</v>
      </c>
      <c r="L2348" t="s">
        <v>291</v>
      </c>
      <c r="M2348" t="s">
        <v>9210</v>
      </c>
    </row>
    <row r="2349" spans="1:13" x14ac:dyDescent="0.25">
      <c r="A2349">
        <v>6756044</v>
      </c>
      <c r="B2349" t="s">
        <v>9211</v>
      </c>
      <c r="C2349" t="str">
        <f>"9783837657111"</f>
        <v>9783837657111</v>
      </c>
      <c r="D2349" t="str">
        <f>"9783839457115"</f>
        <v>9783839457115</v>
      </c>
      <c r="E2349" t="s">
        <v>8919</v>
      </c>
      <c r="F2349" s="1">
        <v>44317</v>
      </c>
      <c r="G2349" t="s">
        <v>9212</v>
      </c>
      <c r="H2349" t="s">
        <v>64</v>
      </c>
      <c r="L2349" t="s">
        <v>291</v>
      </c>
      <c r="M2349" t="s">
        <v>9213</v>
      </c>
    </row>
    <row r="2350" spans="1:13" x14ac:dyDescent="0.25">
      <c r="A2350">
        <v>6756186</v>
      </c>
      <c r="B2350" t="s">
        <v>9214</v>
      </c>
      <c r="C2350" t="str">
        <f>"9783837652833"</f>
        <v>9783837652833</v>
      </c>
      <c r="D2350" t="str">
        <f>"9783839452837"</f>
        <v>9783839452837</v>
      </c>
      <c r="E2350" t="s">
        <v>8919</v>
      </c>
      <c r="F2350" s="1">
        <v>44105</v>
      </c>
      <c r="G2350" t="s">
        <v>9215</v>
      </c>
      <c r="H2350" t="s">
        <v>64</v>
      </c>
      <c r="L2350" t="s">
        <v>291</v>
      </c>
      <c r="M2350" t="s">
        <v>9216</v>
      </c>
    </row>
    <row r="2351" spans="1:13" x14ac:dyDescent="0.25">
      <c r="A2351">
        <v>6756231</v>
      </c>
      <c r="B2351" t="s">
        <v>9217</v>
      </c>
      <c r="C2351" t="str">
        <f>"9783837655643"</f>
        <v>9783837655643</v>
      </c>
      <c r="D2351" t="str">
        <f>"9783839455647"</f>
        <v>9783839455647</v>
      </c>
      <c r="E2351" t="s">
        <v>8919</v>
      </c>
      <c r="F2351" s="1">
        <v>44197</v>
      </c>
      <c r="G2351" t="s">
        <v>9218</v>
      </c>
      <c r="H2351" t="s">
        <v>64</v>
      </c>
      <c r="L2351" t="s">
        <v>291</v>
      </c>
      <c r="M2351" t="s">
        <v>9219</v>
      </c>
    </row>
    <row r="2352" spans="1:13" x14ac:dyDescent="0.25">
      <c r="A2352">
        <v>6756294</v>
      </c>
      <c r="B2352" t="s">
        <v>9220</v>
      </c>
      <c r="C2352" t="str">
        <f>"9783837655568"</f>
        <v>9783837655568</v>
      </c>
      <c r="D2352" t="str">
        <f>"9783839455562"</f>
        <v>9783839455562</v>
      </c>
      <c r="E2352" t="s">
        <v>8919</v>
      </c>
      <c r="F2352" s="1">
        <v>44228</v>
      </c>
      <c r="G2352" t="s">
        <v>9221</v>
      </c>
      <c r="H2352" t="s">
        <v>246</v>
      </c>
      <c r="L2352" t="s">
        <v>291</v>
      </c>
      <c r="M2352" t="s">
        <v>9222</v>
      </c>
    </row>
    <row r="2353" spans="1:13" x14ac:dyDescent="0.25">
      <c r="A2353">
        <v>6756325</v>
      </c>
      <c r="B2353" t="s">
        <v>9223</v>
      </c>
      <c r="C2353" t="str">
        <f>"9783837651690"</f>
        <v>9783837651690</v>
      </c>
      <c r="D2353" t="str">
        <f>"9783839451694"</f>
        <v>9783839451694</v>
      </c>
      <c r="E2353" t="s">
        <v>8919</v>
      </c>
      <c r="F2353" s="1">
        <v>44013</v>
      </c>
      <c r="G2353" t="s">
        <v>9224</v>
      </c>
      <c r="H2353" t="s">
        <v>139</v>
      </c>
      <c r="L2353" t="s">
        <v>291</v>
      </c>
      <c r="M2353" t="s">
        <v>9225</v>
      </c>
    </row>
    <row r="2354" spans="1:13" x14ac:dyDescent="0.25">
      <c r="A2354">
        <v>6756346</v>
      </c>
      <c r="B2354" t="s">
        <v>9226</v>
      </c>
      <c r="C2354" t="str">
        <f>"9783837642629"</f>
        <v>9783837642629</v>
      </c>
      <c r="D2354" t="str">
        <f>"9783839442623"</f>
        <v>9783839442623</v>
      </c>
      <c r="E2354" t="s">
        <v>8919</v>
      </c>
      <c r="F2354" s="1">
        <v>43160</v>
      </c>
      <c r="G2354" t="s">
        <v>9227</v>
      </c>
      <c r="H2354" t="s">
        <v>30</v>
      </c>
      <c r="L2354" t="s">
        <v>291</v>
      </c>
      <c r="M2354" t="s">
        <v>9228</v>
      </c>
    </row>
    <row r="2355" spans="1:13" x14ac:dyDescent="0.25">
      <c r="A2355">
        <v>6756400</v>
      </c>
      <c r="B2355" t="s">
        <v>9229</v>
      </c>
      <c r="C2355" t="str">
        <f>"9783837650020"</f>
        <v>9783837650020</v>
      </c>
      <c r="D2355" t="str">
        <f>"9783839450024"</f>
        <v>9783839450024</v>
      </c>
      <c r="E2355" t="s">
        <v>8919</v>
      </c>
      <c r="F2355" s="1">
        <v>44136</v>
      </c>
      <c r="G2355" t="s">
        <v>9230</v>
      </c>
      <c r="H2355" t="s">
        <v>64</v>
      </c>
      <c r="L2355" t="s">
        <v>291</v>
      </c>
      <c r="M2355" t="s">
        <v>9231</v>
      </c>
    </row>
    <row r="2356" spans="1:13" x14ac:dyDescent="0.25">
      <c r="A2356">
        <v>6756521</v>
      </c>
      <c r="B2356" t="s">
        <v>9232</v>
      </c>
      <c r="C2356" t="str">
        <f>"9783837639025"</f>
        <v>9783837639025</v>
      </c>
      <c r="D2356" t="str">
        <f>"9783839439029"</f>
        <v>9783839439029</v>
      </c>
      <c r="E2356" t="s">
        <v>8919</v>
      </c>
      <c r="F2356" s="1">
        <v>43831</v>
      </c>
      <c r="G2356" t="s">
        <v>9233</v>
      </c>
      <c r="H2356" t="s">
        <v>246</v>
      </c>
      <c r="L2356" t="s">
        <v>20</v>
      </c>
      <c r="M2356" t="s">
        <v>9234</v>
      </c>
    </row>
    <row r="2357" spans="1:13" x14ac:dyDescent="0.25">
      <c r="A2357">
        <v>6756617</v>
      </c>
      <c r="B2357" t="s">
        <v>9235</v>
      </c>
      <c r="C2357" t="str">
        <f>"9783837652048"</f>
        <v>9783837652048</v>
      </c>
      <c r="D2357" t="str">
        <f>"9783839452042"</f>
        <v>9783839452042</v>
      </c>
      <c r="E2357" t="s">
        <v>8919</v>
      </c>
      <c r="F2357" s="1">
        <v>43891</v>
      </c>
      <c r="G2357" t="s">
        <v>9236</v>
      </c>
      <c r="H2357" t="s">
        <v>1753</v>
      </c>
      <c r="I2357" t="s">
        <v>9237</v>
      </c>
      <c r="L2357" t="s">
        <v>291</v>
      </c>
      <c r="M2357" t="s">
        <v>9238</v>
      </c>
    </row>
    <row r="2358" spans="1:13" x14ac:dyDescent="0.25">
      <c r="A2358">
        <v>6756633</v>
      </c>
      <c r="B2358" t="s">
        <v>9239</v>
      </c>
      <c r="C2358" t="str">
        <f>"9783837651850"</f>
        <v>9783837651850</v>
      </c>
      <c r="D2358" t="str">
        <f>"9783839451854"</f>
        <v>9783839451854</v>
      </c>
      <c r="E2358" t="s">
        <v>8919</v>
      </c>
      <c r="F2358" s="1">
        <v>43922</v>
      </c>
      <c r="G2358" t="s">
        <v>9240</v>
      </c>
      <c r="H2358" t="s">
        <v>64</v>
      </c>
      <c r="L2358" t="s">
        <v>291</v>
      </c>
      <c r="M2358" t="s">
        <v>9241</v>
      </c>
    </row>
    <row r="2359" spans="1:13" x14ac:dyDescent="0.25">
      <c r="A2359">
        <v>6756691</v>
      </c>
      <c r="B2359" t="s">
        <v>9242</v>
      </c>
      <c r="C2359" t="str">
        <f>"9783837651744"</f>
        <v>9783837651744</v>
      </c>
      <c r="D2359" t="str">
        <f>"9783839451748"</f>
        <v>9783839451748</v>
      </c>
      <c r="E2359" t="s">
        <v>8919</v>
      </c>
      <c r="F2359" s="1">
        <v>44105</v>
      </c>
      <c r="G2359" t="s">
        <v>9243</v>
      </c>
      <c r="H2359" t="s">
        <v>363</v>
      </c>
      <c r="L2359" t="s">
        <v>291</v>
      </c>
      <c r="M2359" t="s">
        <v>9244</v>
      </c>
    </row>
    <row r="2360" spans="1:13" x14ac:dyDescent="0.25">
      <c r="A2360">
        <v>6756819</v>
      </c>
      <c r="B2360" t="s">
        <v>9245</v>
      </c>
      <c r="C2360" t="str">
        <f>"9783837650952"</f>
        <v>9783837650952</v>
      </c>
      <c r="D2360" t="str">
        <f>"9783839450956"</f>
        <v>9783839450956</v>
      </c>
      <c r="E2360" t="s">
        <v>8919</v>
      </c>
      <c r="F2360" s="1">
        <v>44256</v>
      </c>
      <c r="G2360" t="s">
        <v>9246</v>
      </c>
      <c r="H2360" t="s">
        <v>246</v>
      </c>
      <c r="L2360" t="s">
        <v>20</v>
      </c>
      <c r="M2360" t="s">
        <v>9247</v>
      </c>
    </row>
    <row r="2361" spans="1:13" x14ac:dyDescent="0.25">
      <c r="A2361">
        <v>6756927</v>
      </c>
      <c r="B2361" t="s">
        <v>9248</v>
      </c>
      <c r="C2361" t="str">
        <f>"9783837651843"</f>
        <v>9783837651843</v>
      </c>
      <c r="D2361" t="str">
        <f>"9783839451847"</f>
        <v>9783839451847</v>
      </c>
      <c r="E2361" t="s">
        <v>8919</v>
      </c>
      <c r="F2361" s="1">
        <v>43952</v>
      </c>
      <c r="G2361" t="s">
        <v>9249</v>
      </c>
      <c r="H2361" t="s">
        <v>139</v>
      </c>
      <c r="L2361" t="s">
        <v>291</v>
      </c>
      <c r="M2361" t="s">
        <v>9250</v>
      </c>
    </row>
    <row r="2362" spans="1:13" x14ac:dyDescent="0.25">
      <c r="A2362">
        <v>6756992</v>
      </c>
      <c r="B2362" t="s">
        <v>9251</v>
      </c>
      <c r="C2362" t="str">
        <f>"9783837657036"</f>
        <v>9783837657036</v>
      </c>
      <c r="D2362" t="str">
        <f>"9783839457030"</f>
        <v>9783839457030</v>
      </c>
      <c r="E2362" t="s">
        <v>8919</v>
      </c>
      <c r="F2362" s="1">
        <v>44287</v>
      </c>
      <c r="G2362" t="s">
        <v>9149</v>
      </c>
      <c r="H2362" t="s">
        <v>64</v>
      </c>
      <c r="L2362" t="s">
        <v>20</v>
      </c>
      <c r="M2362" t="s">
        <v>9252</v>
      </c>
    </row>
    <row r="2363" spans="1:13" x14ac:dyDescent="0.25">
      <c r="A2363">
        <v>6757026</v>
      </c>
      <c r="B2363" t="s">
        <v>9253</v>
      </c>
      <c r="C2363" t="str">
        <f>"9783837641523"</f>
        <v>9783837641523</v>
      </c>
      <c r="D2363" t="str">
        <f>"9783839441527"</f>
        <v>9783839441527</v>
      </c>
      <c r="E2363" t="s">
        <v>8919</v>
      </c>
      <c r="F2363" s="1">
        <v>43221</v>
      </c>
      <c r="G2363" t="s">
        <v>9254</v>
      </c>
      <c r="H2363" t="s">
        <v>16</v>
      </c>
      <c r="L2363" t="s">
        <v>291</v>
      </c>
      <c r="M2363" t="s">
        <v>9255</v>
      </c>
    </row>
    <row r="2364" spans="1:13" x14ac:dyDescent="0.25">
      <c r="A2364">
        <v>6757105</v>
      </c>
      <c r="B2364" t="s">
        <v>9256</v>
      </c>
      <c r="C2364" t="str">
        <f>"9783732857289"</f>
        <v>9783732857289</v>
      </c>
      <c r="D2364" t="str">
        <f>"9783839457283"</f>
        <v>9783839457283</v>
      </c>
      <c r="E2364" t="s">
        <v>8919</v>
      </c>
      <c r="F2364" s="1">
        <v>44256</v>
      </c>
      <c r="G2364" t="s">
        <v>9257</v>
      </c>
      <c r="H2364" t="s">
        <v>64</v>
      </c>
      <c r="L2364" t="s">
        <v>291</v>
      </c>
      <c r="M2364" t="s">
        <v>9258</v>
      </c>
    </row>
    <row r="2365" spans="1:13" x14ac:dyDescent="0.25">
      <c r="A2365">
        <v>6757124</v>
      </c>
      <c r="B2365" t="s">
        <v>9259</v>
      </c>
      <c r="C2365" t="str">
        <f>"9783837649987"</f>
        <v>9783837649987</v>
      </c>
      <c r="D2365" t="str">
        <f>"9783839449981"</f>
        <v>9783839449981</v>
      </c>
      <c r="E2365" t="s">
        <v>8919</v>
      </c>
      <c r="F2365" s="1">
        <v>44013</v>
      </c>
      <c r="G2365" t="s">
        <v>9260</v>
      </c>
      <c r="H2365" t="s">
        <v>139</v>
      </c>
      <c r="L2365" t="s">
        <v>291</v>
      </c>
      <c r="M2365" t="s">
        <v>9261</v>
      </c>
    </row>
    <row r="2366" spans="1:13" x14ac:dyDescent="0.25">
      <c r="A2366">
        <v>6757141</v>
      </c>
      <c r="B2366" t="s">
        <v>9262</v>
      </c>
      <c r="C2366" t="str">
        <f>"9783837645149"</f>
        <v>9783837645149</v>
      </c>
      <c r="D2366" t="str">
        <f>"9783839445143"</f>
        <v>9783839445143</v>
      </c>
      <c r="E2366" t="s">
        <v>8919</v>
      </c>
      <c r="F2366" s="1">
        <v>44013</v>
      </c>
      <c r="G2366" t="s">
        <v>9263</v>
      </c>
      <c r="H2366" t="s">
        <v>64</v>
      </c>
      <c r="L2366" t="s">
        <v>291</v>
      </c>
      <c r="M2366" t="s">
        <v>9264</v>
      </c>
    </row>
    <row r="2367" spans="1:13" x14ac:dyDescent="0.25">
      <c r="A2367">
        <v>6757150</v>
      </c>
      <c r="B2367" t="s">
        <v>9265</v>
      </c>
      <c r="C2367" t="str">
        <f>"9783732844296"</f>
        <v>9783732844296</v>
      </c>
      <c r="D2367" t="str">
        <f>"9783839444290"</f>
        <v>9783839444290</v>
      </c>
      <c r="E2367" t="s">
        <v>8919</v>
      </c>
      <c r="F2367" s="1">
        <v>43282</v>
      </c>
      <c r="G2367" t="s">
        <v>9266</v>
      </c>
      <c r="H2367" t="s">
        <v>70</v>
      </c>
      <c r="L2367" t="s">
        <v>291</v>
      </c>
      <c r="M2367" t="s">
        <v>9267</v>
      </c>
    </row>
    <row r="2368" spans="1:13" x14ac:dyDescent="0.25">
      <c r="A2368">
        <v>6757205</v>
      </c>
      <c r="B2368" t="s">
        <v>9268</v>
      </c>
      <c r="C2368" t="str">
        <f>"9783837651638"</f>
        <v>9783837651638</v>
      </c>
      <c r="D2368" t="str">
        <f>"9783839451632"</f>
        <v>9783839451632</v>
      </c>
      <c r="E2368" t="s">
        <v>8919</v>
      </c>
      <c r="F2368" s="1">
        <v>43952</v>
      </c>
      <c r="G2368" t="s">
        <v>9269</v>
      </c>
      <c r="H2368" t="s">
        <v>139</v>
      </c>
      <c r="L2368" t="s">
        <v>20</v>
      </c>
      <c r="M2368" t="s">
        <v>9270</v>
      </c>
    </row>
    <row r="2369" spans="1:13" x14ac:dyDescent="0.25">
      <c r="A2369">
        <v>6757352</v>
      </c>
      <c r="B2369" t="s">
        <v>9271</v>
      </c>
      <c r="C2369" t="str">
        <f>"9783837654295"</f>
        <v>9783837654295</v>
      </c>
      <c r="D2369" t="str">
        <f>"9783839454299"</f>
        <v>9783839454299</v>
      </c>
      <c r="E2369" t="s">
        <v>8919</v>
      </c>
      <c r="F2369" s="1">
        <v>44256</v>
      </c>
      <c r="G2369" t="s">
        <v>9272</v>
      </c>
      <c r="H2369" t="s">
        <v>64</v>
      </c>
      <c r="L2369" t="s">
        <v>291</v>
      </c>
      <c r="M2369" t="s">
        <v>9273</v>
      </c>
    </row>
    <row r="2370" spans="1:13" x14ac:dyDescent="0.25">
      <c r="A2370">
        <v>6757437</v>
      </c>
      <c r="B2370" t="s">
        <v>9274</v>
      </c>
      <c r="C2370" t="str">
        <f>"9783837642605"</f>
        <v>9783837642605</v>
      </c>
      <c r="D2370" t="str">
        <f>"9783839442609"</f>
        <v>9783839442609</v>
      </c>
      <c r="E2370" t="s">
        <v>8919</v>
      </c>
      <c r="F2370" s="1">
        <v>43282</v>
      </c>
      <c r="G2370" t="s">
        <v>9275</v>
      </c>
      <c r="H2370" t="s">
        <v>30</v>
      </c>
      <c r="L2370" t="s">
        <v>291</v>
      </c>
      <c r="M2370" t="s">
        <v>9276</v>
      </c>
    </row>
    <row r="2371" spans="1:13" x14ac:dyDescent="0.25">
      <c r="A2371">
        <v>6757455</v>
      </c>
      <c r="B2371" t="s">
        <v>9277</v>
      </c>
      <c r="C2371" t="str">
        <f>"9783732854226"</f>
        <v>9783732854226</v>
      </c>
      <c r="D2371" t="str">
        <f>"9783839454220"</f>
        <v>9783839454220</v>
      </c>
      <c r="E2371" t="s">
        <v>8919</v>
      </c>
      <c r="F2371" s="1">
        <v>44287</v>
      </c>
      <c r="G2371" t="s">
        <v>9278</v>
      </c>
      <c r="H2371" t="s">
        <v>64</v>
      </c>
      <c r="L2371" t="s">
        <v>291</v>
      </c>
      <c r="M2371" t="s">
        <v>9279</v>
      </c>
    </row>
    <row r="2372" spans="1:13" x14ac:dyDescent="0.25">
      <c r="A2372">
        <v>6757483</v>
      </c>
      <c r="B2372" t="s">
        <v>9280</v>
      </c>
      <c r="C2372" t="str">
        <f>"9783837648645"</f>
        <v>9783837648645</v>
      </c>
      <c r="D2372" t="str">
        <f>"9783839448649"</f>
        <v>9783839448649</v>
      </c>
      <c r="E2372" t="s">
        <v>8919</v>
      </c>
      <c r="F2372" s="1">
        <v>43770</v>
      </c>
      <c r="G2372" t="s">
        <v>9281</v>
      </c>
      <c r="H2372" t="s">
        <v>30</v>
      </c>
      <c r="L2372" t="s">
        <v>291</v>
      </c>
      <c r="M2372" t="s">
        <v>9282</v>
      </c>
    </row>
    <row r="2373" spans="1:13" x14ac:dyDescent="0.25">
      <c r="A2373">
        <v>6757556</v>
      </c>
      <c r="B2373" t="s">
        <v>9283</v>
      </c>
      <c r="C2373" t="str">
        <f>"9783837645392"</f>
        <v>9783837645392</v>
      </c>
      <c r="D2373" t="str">
        <f>"9783839445396"</f>
        <v>9783839445396</v>
      </c>
      <c r="E2373" t="s">
        <v>8919</v>
      </c>
      <c r="F2373" s="1">
        <v>43252</v>
      </c>
      <c r="G2373" t="s">
        <v>9284</v>
      </c>
      <c r="H2373" t="s">
        <v>363</v>
      </c>
      <c r="L2373" t="s">
        <v>291</v>
      </c>
      <c r="M2373" t="s">
        <v>9285</v>
      </c>
    </row>
    <row r="2374" spans="1:13" x14ac:dyDescent="0.25">
      <c r="A2374">
        <v>6757700</v>
      </c>
      <c r="B2374" t="s">
        <v>9286</v>
      </c>
      <c r="C2374" t="str">
        <f>"9783837650419"</f>
        <v>9783837650419</v>
      </c>
      <c r="D2374" t="str">
        <f>"9783839450413"</f>
        <v>9783839450413</v>
      </c>
      <c r="E2374" t="s">
        <v>8919</v>
      </c>
      <c r="F2374" s="1">
        <v>44013</v>
      </c>
      <c r="G2374" t="s">
        <v>9287</v>
      </c>
      <c r="H2374" t="s">
        <v>70</v>
      </c>
      <c r="I2374" t="s">
        <v>9288</v>
      </c>
      <c r="L2374" t="s">
        <v>291</v>
      </c>
      <c r="M2374" t="s">
        <v>9289</v>
      </c>
    </row>
    <row r="2375" spans="1:13" x14ac:dyDescent="0.25">
      <c r="A2375">
        <v>6757810</v>
      </c>
      <c r="B2375" t="s">
        <v>9290</v>
      </c>
      <c r="C2375" t="str">
        <f>"9783837657845"</f>
        <v>9783837657845</v>
      </c>
      <c r="D2375" t="str">
        <f>"9783839457849"</f>
        <v>9783839457849</v>
      </c>
      <c r="E2375" t="s">
        <v>8919</v>
      </c>
      <c r="F2375" s="1">
        <v>44256</v>
      </c>
      <c r="G2375" t="s">
        <v>9291</v>
      </c>
      <c r="H2375" t="s">
        <v>246</v>
      </c>
      <c r="L2375" t="s">
        <v>291</v>
      </c>
      <c r="M2375" t="s">
        <v>9292</v>
      </c>
    </row>
    <row r="2376" spans="1:13" x14ac:dyDescent="0.25">
      <c r="A2376">
        <v>6758056</v>
      </c>
      <c r="B2376" t="s">
        <v>9293</v>
      </c>
      <c r="C2376" t="str">
        <f>"9783837653854"</f>
        <v>9783837653854</v>
      </c>
      <c r="D2376" t="str">
        <f>"9783839453858"</f>
        <v>9783839453858</v>
      </c>
      <c r="E2376" t="s">
        <v>8919</v>
      </c>
      <c r="F2376" s="1">
        <v>44075</v>
      </c>
      <c r="G2376" t="s">
        <v>9294</v>
      </c>
      <c r="H2376" t="s">
        <v>64</v>
      </c>
      <c r="L2376" t="s">
        <v>291</v>
      </c>
      <c r="M2376" t="s">
        <v>9295</v>
      </c>
    </row>
    <row r="2377" spans="1:13" x14ac:dyDescent="0.25">
      <c r="A2377">
        <v>6758082</v>
      </c>
      <c r="B2377" t="s">
        <v>9296</v>
      </c>
      <c r="C2377" t="str">
        <f>"9783837655032"</f>
        <v>9783837655032</v>
      </c>
      <c r="D2377" t="str">
        <f>"9783839455036"</f>
        <v>9783839455036</v>
      </c>
      <c r="E2377" t="s">
        <v>8919</v>
      </c>
      <c r="F2377" s="1">
        <v>44197</v>
      </c>
      <c r="G2377" t="s">
        <v>9297</v>
      </c>
      <c r="H2377" t="s">
        <v>64</v>
      </c>
      <c r="L2377" t="s">
        <v>291</v>
      </c>
      <c r="M2377" t="s">
        <v>9298</v>
      </c>
    </row>
    <row r="2378" spans="1:13" x14ac:dyDescent="0.25">
      <c r="A2378">
        <v>6758110</v>
      </c>
      <c r="B2378" t="s">
        <v>9299</v>
      </c>
      <c r="C2378" t="str">
        <f>"9783837658354"</f>
        <v>9783837658354</v>
      </c>
      <c r="D2378" t="str">
        <f>"9783839458358"</f>
        <v>9783839458358</v>
      </c>
      <c r="E2378" t="s">
        <v>8919</v>
      </c>
      <c r="F2378" s="1">
        <v>44348</v>
      </c>
      <c r="G2378" t="s">
        <v>9300</v>
      </c>
      <c r="H2378" t="s">
        <v>64</v>
      </c>
      <c r="L2378" t="s">
        <v>291</v>
      </c>
      <c r="M2378" t="s">
        <v>9301</v>
      </c>
    </row>
    <row r="2379" spans="1:13" x14ac:dyDescent="0.25">
      <c r="A2379">
        <v>6758211</v>
      </c>
      <c r="B2379" t="s">
        <v>9302</v>
      </c>
      <c r="C2379" t="str">
        <f>"9783837653267"</f>
        <v>9783837653267</v>
      </c>
      <c r="D2379" t="str">
        <f>"9783839453261"</f>
        <v>9783839453261</v>
      </c>
      <c r="E2379" t="s">
        <v>8919</v>
      </c>
      <c r="F2379" s="1">
        <v>44228</v>
      </c>
      <c r="G2379" t="s">
        <v>9303</v>
      </c>
      <c r="H2379" t="s">
        <v>806</v>
      </c>
      <c r="L2379" t="s">
        <v>291</v>
      </c>
      <c r="M2379" t="s">
        <v>9304</v>
      </c>
    </row>
    <row r="2380" spans="1:13" x14ac:dyDescent="0.25">
      <c r="A2380">
        <v>6758358</v>
      </c>
      <c r="B2380" t="s">
        <v>9305</v>
      </c>
      <c r="C2380" t="str">
        <f>"9783837650211"</f>
        <v>9783837650211</v>
      </c>
      <c r="D2380" t="str">
        <f>"9783839450215"</f>
        <v>9783839450215</v>
      </c>
      <c r="E2380" t="s">
        <v>8919</v>
      </c>
      <c r="F2380" s="1">
        <v>44013</v>
      </c>
      <c r="G2380" t="s">
        <v>9306</v>
      </c>
      <c r="H2380" t="s">
        <v>64</v>
      </c>
      <c r="L2380" t="s">
        <v>20</v>
      </c>
      <c r="M2380" t="s">
        <v>9307</v>
      </c>
    </row>
    <row r="2381" spans="1:13" x14ac:dyDescent="0.25">
      <c r="A2381">
        <v>6758369</v>
      </c>
      <c r="B2381" t="s">
        <v>9308</v>
      </c>
      <c r="C2381" t="str">
        <f>"9783837649963"</f>
        <v>9783837649963</v>
      </c>
      <c r="D2381" t="str">
        <f>"9783839449967"</f>
        <v>9783839449967</v>
      </c>
      <c r="E2381" t="s">
        <v>8919</v>
      </c>
      <c r="F2381" s="1">
        <v>43800</v>
      </c>
      <c r="G2381" t="s">
        <v>9309</v>
      </c>
      <c r="H2381" t="s">
        <v>70</v>
      </c>
      <c r="L2381" t="s">
        <v>291</v>
      </c>
      <c r="M2381" t="s">
        <v>9310</v>
      </c>
    </row>
    <row r="2382" spans="1:13" x14ac:dyDescent="0.25">
      <c r="A2382">
        <v>6758390</v>
      </c>
      <c r="B2382" t="s">
        <v>9311</v>
      </c>
      <c r="C2382" t="str">
        <f>"9783732852710"</f>
        <v>9783732852710</v>
      </c>
      <c r="D2382" t="str">
        <f>"9783839452714"</f>
        <v>9783839452714</v>
      </c>
      <c r="E2382" t="s">
        <v>8919</v>
      </c>
      <c r="F2382" s="1">
        <v>44075</v>
      </c>
      <c r="G2382" t="s">
        <v>9312</v>
      </c>
      <c r="H2382" t="s">
        <v>30</v>
      </c>
      <c r="L2382" t="s">
        <v>291</v>
      </c>
      <c r="M2382" t="s">
        <v>9313</v>
      </c>
    </row>
    <row r="2383" spans="1:13" x14ac:dyDescent="0.25">
      <c r="A2383">
        <v>6758570</v>
      </c>
      <c r="B2383" t="s">
        <v>9314</v>
      </c>
      <c r="C2383" t="str">
        <f>"9783837655872"</f>
        <v>9783837655872</v>
      </c>
      <c r="D2383" t="str">
        <f>"9783839455876"</f>
        <v>9783839455876</v>
      </c>
      <c r="E2383" t="s">
        <v>8919</v>
      </c>
      <c r="F2383" s="1">
        <v>44256</v>
      </c>
      <c r="G2383" t="s">
        <v>9315</v>
      </c>
      <c r="H2383" t="s">
        <v>64</v>
      </c>
      <c r="L2383" t="s">
        <v>20</v>
      </c>
      <c r="M2383" t="s">
        <v>9316</v>
      </c>
    </row>
    <row r="2384" spans="1:13" x14ac:dyDescent="0.25">
      <c r="A2384">
        <v>6758605</v>
      </c>
      <c r="B2384" t="s">
        <v>9317</v>
      </c>
      <c r="C2384" t="str">
        <f>"9783837658491"</f>
        <v>9783837658491</v>
      </c>
      <c r="D2384" t="str">
        <f>"9783839458495"</f>
        <v>9783839458495</v>
      </c>
      <c r="E2384" t="s">
        <v>8919</v>
      </c>
      <c r="F2384" s="1">
        <v>44348</v>
      </c>
      <c r="G2384" t="s">
        <v>9318</v>
      </c>
      <c r="H2384" t="s">
        <v>70</v>
      </c>
      <c r="L2384" t="s">
        <v>291</v>
      </c>
      <c r="M2384" t="s">
        <v>9319</v>
      </c>
    </row>
    <row r="2385" spans="1:13" x14ac:dyDescent="0.25">
      <c r="A2385">
        <v>6758629</v>
      </c>
      <c r="B2385" t="s">
        <v>9320</v>
      </c>
      <c r="C2385" t="str">
        <f>"9783732854790"</f>
        <v>9783732854790</v>
      </c>
      <c r="D2385" t="str">
        <f>"9783839454794"</f>
        <v>9783839454794</v>
      </c>
      <c r="E2385" t="s">
        <v>8919</v>
      </c>
      <c r="F2385" s="1">
        <v>44287</v>
      </c>
      <c r="G2385" t="s">
        <v>9321</v>
      </c>
      <c r="H2385" t="s">
        <v>30</v>
      </c>
      <c r="L2385" t="s">
        <v>291</v>
      </c>
      <c r="M2385" t="s">
        <v>9322</v>
      </c>
    </row>
    <row r="2386" spans="1:13" x14ac:dyDescent="0.25">
      <c r="A2386">
        <v>6758648</v>
      </c>
      <c r="B2386" t="s">
        <v>9323</v>
      </c>
      <c r="C2386" t="str">
        <f>"9783837648874"</f>
        <v>9783837648874</v>
      </c>
      <c r="D2386" t="str">
        <f>"9783839448878"</f>
        <v>9783839448878</v>
      </c>
      <c r="E2386" t="s">
        <v>8919</v>
      </c>
      <c r="F2386" s="1">
        <v>43739</v>
      </c>
      <c r="G2386" t="s">
        <v>9324</v>
      </c>
      <c r="H2386" t="s">
        <v>363</v>
      </c>
      <c r="I2386" t="s">
        <v>9325</v>
      </c>
      <c r="L2386" t="s">
        <v>20</v>
      </c>
      <c r="M2386" t="s">
        <v>9326</v>
      </c>
    </row>
    <row r="2387" spans="1:13" x14ac:dyDescent="0.25">
      <c r="A2387">
        <v>6758667</v>
      </c>
      <c r="B2387" t="s">
        <v>9327</v>
      </c>
      <c r="C2387" t="str">
        <f>"9783837651324"</f>
        <v>9783837651324</v>
      </c>
      <c r="D2387" t="str">
        <f>"9783839451328"</f>
        <v>9783839451328</v>
      </c>
      <c r="E2387" t="s">
        <v>8919</v>
      </c>
      <c r="F2387" s="1">
        <v>43862</v>
      </c>
      <c r="G2387" t="s">
        <v>9328</v>
      </c>
      <c r="H2387" t="s">
        <v>70</v>
      </c>
      <c r="L2387" t="s">
        <v>291</v>
      </c>
      <c r="M2387" t="s">
        <v>9329</v>
      </c>
    </row>
    <row r="2388" spans="1:13" x14ac:dyDescent="0.25">
      <c r="A2388">
        <v>6758708</v>
      </c>
      <c r="B2388" t="s">
        <v>9330</v>
      </c>
      <c r="C2388" t="str">
        <f>"9783837653748"</f>
        <v>9783837653748</v>
      </c>
      <c r="D2388" t="str">
        <f>"9783839453742"</f>
        <v>9783839453742</v>
      </c>
      <c r="E2388" t="s">
        <v>8919</v>
      </c>
      <c r="F2388" s="1">
        <v>44075</v>
      </c>
      <c r="G2388" t="s">
        <v>9331</v>
      </c>
      <c r="H2388" t="s">
        <v>363</v>
      </c>
      <c r="L2388" t="s">
        <v>291</v>
      </c>
      <c r="M2388" t="s">
        <v>9332</v>
      </c>
    </row>
    <row r="2389" spans="1:13" x14ac:dyDescent="0.25">
      <c r="A2389">
        <v>6758905</v>
      </c>
      <c r="B2389" t="s">
        <v>9333</v>
      </c>
      <c r="C2389" t="str">
        <f>"9783837655674"</f>
        <v>9783837655674</v>
      </c>
      <c r="D2389" t="str">
        <f>"9783839455678"</f>
        <v>9783839455678</v>
      </c>
      <c r="E2389" t="s">
        <v>8919</v>
      </c>
      <c r="F2389" s="1">
        <v>44287</v>
      </c>
      <c r="G2389" t="s">
        <v>9334</v>
      </c>
      <c r="H2389" t="s">
        <v>363</v>
      </c>
      <c r="L2389" t="s">
        <v>291</v>
      </c>
      <c r="M2389" t="s">
        <v>9335</v>
      </c>
    </row>
    <row r="2390" spans="1:13" x14ac:dyDescent="0.25">
      <c r="A2390">
        <v>6759008</v>
      </c>
      <c r="B2390" t="s">
        <v>9336</v>
      </c>
      <c r="C2390" t="str">
        <f>"9783837657616"</f>
        <v>9783837657616</v>
      </c>
      <c r="D2390" t="str">
        <f>"9783839457610"</f>
        <v>9783839457610</v>
      </c>
      <c r="E2390" t="s">
        <v>8919</v>
      </c>
      <c r="F2390" s="1">
        <v>44287</v>
      </c>
      <c r="G2390" t="s">
        <v>8065</v>
      </c>
      <c r="H2390" t="s">
        <v>139</v>
      </c>
      <c r="L2390" t="s">
        <v>291</v>
      </c>
      <c r="M2390" t="s">
        <v>9337</v>
      </c>
    </row>
    <row r="2391" spans="1:13" x14ac:dyDescent="0.25">
      <c r="A2391">
        <v>6759045</v>
      </c>
      <c r="B2391" t="s">
        <v>9338</v>
      </c>
      <c r="C2391" t="str">
        <f>"9783837647808"</f>
        <v>9783837647808</v>
      </c>
      <c r="D2391" t="str">
        <f>"9783839447802"</f>
        <v>9783839447802</v>
      </c>
      <c r="E2391" t="s">
        <v>8919</v>
      </c>
      <c r="F2391" s="1">
        <v>44013</v>
      </c>
      <c r="G2391" t="s">
        <v>9339</v>
      </c>
      <c r="H2391" t="s">
        <v>139</v>
      </c>
      <c r="L2391" t="s">
        <v>291</v>
      </c>
      <c r="M2391" t="s">
        <v>9340</v>
      </c>
    </row>
    <row r="2392" spans="1:13" x14ac:dyDescent="0.25">
      <c r="A2392">
        <v>6759141</v>
      </c>
      <c r="B2392" t="s">
        <v>9341</v>
      </c>
      <c r="C2392" t="str">
        <f>"9783837650181"</f>
        <v>9783837650181</v>
      </c>
      <c r="D2392" t="str">
        <f>"9783839450185"</f>
        <v>9783839450185</v>
      </c>
      <c r="E2392" t="s">
        <v>8919</v>
      </c>
      <c r="F2392" s="1">
        <v>44105</v>
      </c>
      <c r="G2392" t="s">
        <v>9342</v>
      </c>
      <c r="H2392" t="s">
        <v>64</v>
      </c>
      <c r="L2392" t="s">
        <v>20</v>
      </c>
      <c r="M2392" t="s">
        <v>9343</v>
      </c>
    </row>
    <row r="2393" spans="1:13" x14ac:dyDescent="0.25">
      <c r="A2393">
        <v>6759152</v>
      </c>
      <c r="B2393" t="s">
        <v>9344</v>
      </c>
      <c r="C2393" t="str">
        <f>"9783837637830"</f>
        <v>9783837637830</v>
      </c>
      <c r="D2393" t="str">
        <f>"9783839437834"</f>
        <v>9783839437834</v>
      </c>
      <c r="E2393" t="s">
        <v>8919</v>
      </c>
      <c r="F2393" s="1">
        <v>43101</v>
      </c>
      <c r="G2393" t="s">
        <v>9345</v>
      </c>
      <c r="H2393" t="s">
        <v>139</v>
      </c>
      <c r="L2393" t="s">
        <v>20</v>
      </c>
      <c r="M2393" t="s">
        <v>9346</v>
      </c>
    </row>
    <row r="2394" spans="1:13" x14ac:dyDescent="0.25">
      <c r="A2394">
        <v>6759167</v>
      </c>
      <c r="B2394" t="s">
        <v>9347</v>
      </c>
      <c r="C2394" t="str">
        <f>"9783837638059"</f>
        <v>9783837638059</v>
      </c>
      <c r="D2394" t="str">
        <f>"9783839438053"</f>
        <v>9783839438053</v>
      </c>
      <c r="E2394" t="s">
        <v>8919</v>
      </c>
      <c r="F2394" s="1">
        <v>43160</v>
      </c>
      <c r="G2394" t="s">
        <v>9348</v>
      </c>
      <c r="H2394" t="s">
        <v>2902</v>
      </c>
      <c r="L2394" t="s">
        <v>20</v>
      </c>
      <c r="M2394" t="s">
        <v>9349</v>
      </c>
    </row>
    <row r="2395" spans="1:13" x14ac:dyDescent="0.25">
      <c r="A2395">
        <v>6759224</v>
      </c>
      <c r="B2395" t="s">
        <v>9350</v>
      </c>
      <c r="C2395" t="str">
        <f>"9783837651089"</f>
        <v>9783837651089</v>
      </c>
      <c r="D2395" t="str">
        <f>"9783839451083"</f>
        <v>9783839451083</v>
      </c>
      <c r="E2395" t="s">
        <v>8919</v>
      </c>
      <c r="F2395" s="1">
        <v>44166</v>
      </c>
      <c r="G2395" t="s">
        <v>9351</v>
      </c>
      <c r="H2395" t="s">
        <v>30</v>
      </c>
      <c r="I2395" t="s">
        <v>9352</v>
      </c>
      <c r="L2395" t="s">
        <v>291</v>
      </c>
      <c r="M2395" t="s">
        <v>9353</v>
      </c>
    </row>
    <row r="2396" spans="1:13" x14ac:dyDescent="0.25">
      <c r="A2396">
        <v>6759252</v>
      </c>
      <c r="B2396" t="s">
        <v>9354</v>
      </c>
      <c r="C2396" t="str">
        <f>"9783837647518"</f>
        <v>9783837647518</v>
      </c>
      <c r="D2396" t="str">
        <f>"9783839447512"</f>
        <v>9783839447512</v>
      </c>
      <c r="E2396" t="s">
        <v>8919</v>
      </c>
      <c r="F2396" s="1">
        <v>44166</v>
      </c>
      <c r="G2396" t="s">
        <v>9355</v>
      </c>
      <c r="H2396" t="s">
        <v>64</v>
      </c>
      <c r="L2396" t="s">
        <v>20</v>
      </c>
      <c r="M2396" t="s">
        <v>9356</v>
      </c>
    </row>
    <row r="2397" spans="1:13" x14ac:dyDescent="0.25">
      <c r="A2397">
        <v>6759309</v>
      </c>
      <c r="B2397" t="s">
        <v>9357</v>
      </c>
      <c r="C2397" t="str">
        <f>"9783837639162"</f>
        <v>9783837639162</v>
      </c>
      <c r="D2397" t="str">
        <f>"9783839439166"</f>
        <v>9783839439166</v>
      </c>
      <c r="E2397" t="s">
        <v>8919</v>
      </c>
      <c r="F2397" s="1">
        <v>43313</v>
      </c>
      <c r="G2397" t="s">
        <v>9358</v>
      </c>
      <c r="H2397" t="s">
        <v>64</v>
      </c>
      <c r="L2397" t="s">
        <v>291</v>
      </c>
      <c r="M2397" t="s">
        <v>9359</v>
      </c>
    </row>
    <row r="2398" spans="1:13" x14ac:dyDescent="0.25">
      <c r="A2398">
        <v>6759373</v>
      </c>
      <c r="B2398" t="s">
        <v>9360</v>
      </c>
      <c r="C2398" t="str">
        <f>"9783837647730"</f>
        <v>9783837647730</v>
      </c>
      <c r="D2398" t="str">
        <f>"9783839447734"</f>
        <v>9783839447734</v>
      </c>
      <c r="E2398" t="s">
        <v>8919</v>
      </c>
      <c r="F2398" s="1">
        <v>44256</v>
      </c>
      <c r="G2398" t="s">
        <v>9361</v>
      </c>
      <c r="H2398" t="s">
        <v>246</v>
      </c>
      <c r="L2398" t="s">
        <v>291</v>
      </c>
      <c r="M2398" t="s">
        <v>9362</v>
      </c>
    </row>
    <row r="2399" spans="1:13" x14ac:dyDescent="0.25">
      <c r="A2399">
        <v>6759487</v>
      </c>
      <c r="B2399" t="s">
        <v>9363</v>
      </c>
      <c r="C2399" t="str">
        <f>"9783732851768"</f>
        <v>9783732851768</v>
      </c>
      <c r="D2399" t="str">
        <f>"9783839451762"</f>
        <v>9783839451762</v>
      </c>
      <c r="E2399" t="s">
        <v>8919</v>
      </c>
      <c r="F2399" s="1">
        <v>43922</v>
      </c>
      <c r="G2399" t="s">
        <v>9364</v>
      </c>
      <c r="H2399" t="s">
        <v>16</v>
      </c>
      <c r="L2399" t="s">
        <v>291</v>
      </c>
      <c r="M2399" t="s">
        <v>9365</v>
      </c>
    </row>
    <row r="2400" spans="1:13" x14ac:dyDescent="0.25">
      <c r="A2400">
        <v>6759671</v>
      </c>
      <c r="B2400" t="s">
        <v>9366</v>
      </c>
      <c r="C2400" t="str">
        <f>"9783837657678"</f>
        <v>9783837657678</v>
      </c>
      <c r="D2400" t="str">
        <f>"9783839457672"</f>
        <v>9783839457672</v>
      </c>
      <c r="E2400" t="s">
        <v>8919</v>
      </c>
      <c r="F2400" s="1">
        <v>44287</v>
      </c>
      <c r="G2400" t="s">
        <v>9367</v>
      </c>
      <c r="H2400" t="s">
        <v>30</v>
      </c>
      <c r="L2400" t="s">
        <v>291</v>
      </c>
      <c r="M2400" t="s">
        <v>9368</v>
      </c>
    </row>
    <row r="2401" spans="1:13" x14ac:dyDescent="0.25">
      <c r="A2401">
        <v>6759774</v>
      </c>
      <c r="B2401" t="s">
        <v>9369</v>
      </c>
      <c r="C2401" t="str">
        <f>"9783837653694"</f>
        <v>9783837653694</v>
      </c>
      <c r="D2401" t="str">
        <f>"9783839453698"</f>
        <v>9783839453698</v>
      </c>
      <c r="E2401" t="s">
        <v>8919</v>
      </c>
      <c r="F2401" s="1">
        <v>44105</v>
      </c>
      <c r="G2401" t="s">
        <v>9370</v>
      </c>
      <c r="H2401" t="s">
        <v>64</v>
      </c>
      <c r="L2401" t="s">
        <v>291</v>
      </c>
      <c r="M2401" t="s">
        <v>9371</v>
      </c>
    </row>
    <row r="2402" spans="1:13" x14ac:dyDescent="0.25">
      <c r="A2402">
        <v>6759811</v>
      </c>
      <c r="B2402" t="s">
        <v>9372</v>
      </c>
      <c r="C2402" t="str">
        <f>"9783837647259"</f>
        <v>9783837647259</v>
      </c>
      <c r="D2402" t="str">
        <f>"9783839447253"</f>
        <v>9783839447253</v>
      </c>
      <c r="E2402" t="s">
        <v>8919</v>
      </c>
      <c r="F2402" s="1">
        <v>43831</v>
      </c>
      <c r="G2402" t="s">
        <v>9373</v>
      </c>
      <c r="H2402" t="s">
        <v>310</v>
      </c>
      <c r="L2402" t="s">
        <v>291</v>
      </c>
      <c r="M2402" t="s">
        <v>9374</v>
      </c>
    </row>
    <row r="2403" spans="1:13" x14ac:dyDescent="0.25">
      <c r="A2403">
        <v>6759838</v>
      </c>
      <c r="B2403" t="s">
        <v>9375</v>
      </c>
      <c r="C2403" t="str">
        <f>"9783837656510"</f>
        <v>9783837656510</v>
      </c>
      <c r="D2403" t="str">
        <f>"9783839456514"</f>
        <v>9783839456514</v>
      </c>
      <c r="E2403" t="s">
        <v>8919</v>
      </c>
      <c r="F2403" s="1">
        <v>44287</v>
      </c>
      <c r="G2403" t="s">
        <v>9324</v>
      </c>
      <c r="H2403" t="s">
        <v>363</v>
      </c>
      <c r="L2403" t="s">
        <v>291</v>
      </c>
      <c r="M2403" t="s">
        <v>9376</v>
      </c>
    </row>
    <row r="2404" spans="1:13" x14ac:dyDescent="0.25">
      <c r="A2404">
        <v>6759844</v>
      </c>
      <c r="B2404" t="s">
        <v>9377</v>
      </c>
      <c r="C2404" t="str">
        <f>"9783837643282"</f>
        <v>9783837643282</v>
      </c>
      <c r="D2404" t="str">
        <f>"9783839443286"</f>
        <v>9783839443286</v>
      </c>
      <c r="E2404" t="s">
        <v>8919</v>
      </c>
      <c r="F2404" s="1">
        <v>43313</v>
      </c>
      <c r="G2404" t="s">
        <v>9378</v>
      </c>
      <c r="H2404" t="s">
        <v>363</v>
      </c>
      <c r="L2404" t="s">
        <v>291</v>
      </c>
      <c r="M2404" t="s">
        <v>9379</v>
      </c>
    </row>
    <row r="2405" spans="1:13" x14ac:dyDescent="0.25">
      <c r="A2405">
        <v>6759891</v>
      </c>
      <c r="B2405" t="s">
        <v>9380</v>
      </c>
      <c r="C2405" t="str">
        <f>"9783837655896"</f>
        <v>9783837655896</v>
      </c>
      <c r="D2405" t="str">
        <f>"9783839455890"</f>
        <v>9783839455890</v>
      </c>
      <c r="E2405" t="s">
        <v>8919</v>
      </c>
      <c r="F2405" s="1">
        <v>44197</v>
      </c>
      <c r="G2405" t="s">
        <v>9381</v>
      </c>
      <c r="H2405" t="s">
        <v>64</v>
      </c>
      <c r="L2405" t="s">
        <v>291</v>
      </c>
      <c r="M2405" t="s">
        <v>9382</v>
      </c>
    </row>
    <row r="2406" spans="1:13" x14ac:dyDescent="0.25">
      <c r="A2406">
        <v>6759898</v>
      </c>
      <c r="B2406" t="s">
        <v>9383</v>
      </c>
      <c r="C2406" t="str">
        <f>"9783732839230"</f>
        <v>9783732839230</v>
      </c>
      <c r="D2406" t="str">
        <f>"9783839439234"</f>
        <v>9783839439234</v>
      </c>
      <c r="E2406" t="s">
        <v>8919</v>
      </c>
      <c r="F2406" s="1">
        <v>43160</v>
      </c>
      <c r="G2406" t="s">
        <v>9384</v>
      </c>
      <c r="H2406" t="s">
        <v>1586</v>
      </c>
      <c r="J2406">
        <v>153.4</v>
      </c>
      <c r="L2406" t="s">
        <v>20</v>
      </c>
      <c r="M2406" t="s">
        <v>9385</v>
      </c>
    </row>
    <row r="2407" spans="1:13" x14ac:dyDescent="0.25">
      <c r="A2407">
        <v>6759904</v>
      </c>
      <c r="B2407" t="s">
        <v>9386</v>
      </c>
      <c r="C2407" t="str">
        <f>"9783732845507"</f>
        <v>9783732845507</v>
      </c>
      <c r="D2407" t="str">
        <f>"9783839445501"</f>
        <v>9783839445501</v>
      </c>
      <c r="E2407" t="s">
        <v>8919</v>
      </c>
      <c r="F2407" s="1">
        <v>44317</v>
      </c>
      <c r="G2407" t="s">
        <v>9387</v>
      </c>
      <c r="H2407" t="s">
        <v>30</v>
      </c>
      <c r="L2407" t="s">
        <v>20</v>
      </c>
      <c r="M2407" t="s">
        <v>9388</v>
      </c>
    </row>
    <row r="2408" spans="1:13" x14ac:dyDescent="0.25">
      <c r="A2408">
        <v>6759913</v>
      </c>
      <c r="B2408" t="s">
        <v>9081</v>
      </c>
      <c r="C2408" t="str">
        <f>"9783837651997"</f>
        <v>9783837651997</v>
      </c>
      <c r="D2408" t="str">
        <f>"9783839451991"</f>
        <v>9783839451991</v>
      </c>
      <c r="E2408" t="s">
        <v>8919</v>
      </c>
      <c r="F2408" s="1">
        <v>44256</v>
      </c>
      <c r="G2408" t="s">
        <v>9389</v>
      </c>
      <c r="H2408" t="s">
        <v>64</v>
      </c>
      <c r="L2408" t="s">
        <v>291</v>
      </c>
      <c r="M2408" t="s">
        <v>9390</v>
      </c>
    </row>
    <row r="2409" spans="1:13" x14ac:dyDescent="0.25">
      <c r="A2409">
        <v>6759940</v>
      </c>
      <c r="B2409" t="s">
        <v>9391</v>
      </c>
      <c r="C2409" t="str">
        <f>"9783837651652"</f>
        <v>9783837651652</v>
      </c>
      <c r="D2409" t="str">
        <f>"9783839451656"</f>
        <v>9783839451656</v>
      </c>
      <c r="E2409" t="s">
        <v>8919</v>
      </c>
      <c r="F2409" s="1">
        <v>43983</v>
      </c>
      <c r="G2409" t="s">
        <v>9392</v>
      </c>
      <c r="H2409" t="s">
        <v>30</v>
      </c>
      <c r="L2409" t="s">
        <v>291</v>
      </c>
      <c r="M2409" t="s">
        <v>9393</v>
      </c>
    </row>
    <row r="2410" spans="1:13" x14ac:dyDescent="0.25">
      <c r="A2410">
        <v>6759952</v>
      </c>
      <c r="B2410" t="s">
        <v>9394</v>
      </c>
      <c r="C2410" t="str">
        <f>"9783837655308"</f>
        <v>9783837655308</v>
      </c>
      <c r="D2410" t="str">
        <f>"9783839455302"</f>
        <v>9783839455302</v>
      </c>
      <c r="E2410" t="s">
        <v>8919</v>
      </c>
      <c r="F2410" s="1">
        <v>44197</v>
      </c>
      <c r="G2410" t="s">
        <v>9395</v>
      </c>
      <c r="H2410" t="s">
        <v>70</v>
      </c>
      <c r="L2410" t="s">
        <v>291</v>
      </c>
      <c r="M2410" t="s">
        <v>9396</v>
      </c>
    </row>
    <row r="2411" spans="1:13" x14ac:dyDescent="0.25">
      <c r="A2411">
        <v>6760045</v>
      </c>
      <c r="B2411" t="s">
        <v>9397</v>
      </c>
      <c r="C2411" t="str">
        <f>"9783732851836"</f>
        <v>9783732851836</v>
      </c>
      <c r="D2411" t="str">
        <f>"9783839451830"</f>
        <v>9783839451830</v>
      </c>
      <c r="E2411" t="s">
        <v>8919</v>
      </c>
      <c r="F2411" s="1">
        <v>43891</v>
      </c>
      <c r="G2411" t="s">
        <v>9398</v>
      </c>
      <c r="H2411" t="s">
        <v>30</v>
      </c>
      <c r="L2411" t="s">
        <v>20</v>
      </c>
      <c r="M2411" t="s">
        <v>9399</v>
      </c>
    </row>
    <row r="2412" spans="1:13" x14ac:dyDescent="0.25">
      <c r="A2412">
        <v>6760093</v>
      </c>
      <c r="B2412" t="s">
        <v>9400</v>
      </c>
      <c r="C2412" t="str">
        <f>"9783837654240"</f>
        <v>9783837654240</v>
      </c>
      <c r="D2412" t="str">
        <f>"9783839454244"</f>
        <v>9783839454244</v>
      </c>
      <c r="E2412" t="s">
        <v>8919</v>
      </c>
      <c r="F2412" s="1">
        <v>44197</v>
      </c>
      <c r="G2412" t="s">
        <v>9401</v>
      </c>
      <c r="H2412" t="s">
        <v>64</v>
      </c>
      <c r="L2412" t="s">
        <v>20</v>
      </c>
      <c r="M2412" t="s">
        <v>9402</v>
      </c>
    </row>
    <row r="2413" spans="1:13" x14ac:dyDescent="0.25">
      <c r="A2413">
        <v>6760129</v>
      </c>
      <c r="B2413" t="s">
        <v>9403</v>
      </c>
      <c r="C2413" t="str">
        <f>"9783732853151"</f>
        <v>9783732853151</v>
      </c>
      <c r="D2413" t="str">
        <f>"9783839453155"</f>
        <v>9783839453155</v>
      </c>
      <c r="E2413" t="s">
        <v>8919</v>
      </c>
      <c r="F2413" s="1">
        <v>44197</v>
      </c>
      <c r="G2413" t="s">
        <v>9404</v>
      </c>
      <c r="H2413" t="s">
        <v>64</v>
      </c>
      <c r="I2413" t="s">
        <v>9405</v>
      </c>
      <c r="L2413" t="s">
        <v>291</v>
      </c>
      <c r="M2413" t="s">
        <v>9406</v>
      </c>
    </row>
    <row r="2414" spans="1:13" x14ac:dyDescent="0.25">
      <c r="A2414">
        <v>6760392</v>
      </c>
      <c r="B2414" t="s">
        <v>9407</v>
      </c>
      <c r="C2414" t="str">
        <f>"9783837651713"</f>
        <v>9783837651713</v>
      </c>
      <c r="D2414" t="str">
        <f>"9783839451717"</f>
        <v>9783839451717</v>
      </c>
      <c r="E2414" t="s">
        <v>8919</v>
      </c>
      <c r="F2414" s="1">
        <v>44013</v>
      </c>
      <c r="G2414" t="s">
        <v>9408</v>
      </c>
      <c r="H2414" t="s">
        <v>64</v>
      </c>
      <c r="L2414" t="s">
        <v>20</v>
      </c>
      <c r="M2414" t="s">
        <v>9409</v>
      </c>
    </row>
    <row r="2415" spans="1:13" x14ac:dyDescent="0.25">
      <c r="A2415">
        <v>6760501</v>
      </c>
      <c r="B2415" t="s">
        <v>9410</v>
      </c>
      <c r="C2415" t="str">
        <f>"9783732850693"</f>
        <v>9783732850693</v>
      </c>
      <c r="D2415" t="str">
        <f>"9783839450697"</f>
        <v>9783839450697</v>
      </c>
      <c r="E2415" t="s">
        <v>8919</v>
      </c>
      <c r="F2415" s="1">
        <v>44075</v>
      </c>
      <c r="G2415" t="s">
        <v>9411</v>
      </c>
      <c r="H2415" t="s">
        <v>30</v>
      </c>
      <c r="I2415" t="s">
        <v>9412</v>
      </c>
      <c r="L2415" t="s">
        <v>20</v>
      </c>
      <c r="M2415" t="s">
        <v>9413</v>
      </c>
    </row>
    <row r="2416" spans="1:13" x14ac:dyDescent="0.25">
      <c r="A2416">
        <v>6760536</v>
      </c>
      <c r="B2416" t="s">
        <v>9414</v>
      </c>
      <c r="C2416" t="str">
        <f>"9783837641325"</f>
        <v>9783837641325</v>
      </c>
      <c r="D2416" t="str">
        <f>"9783839441329"</f>
        <v>9783839441329</v>
      </c>
      <c r="E2416" t="s">
        <v>8919</v>
      </c>
      <c r="F2416" s="1">
        <v>43405</v>
      </c>
      <c r="G2416" t="s">
        <v>9415</v>
      </c>
      <c r="H2416" t="s">
        <v>70</v>
      </c>
      <c r="I2416" t="s">
        <v>9416</v>
      </c>
      <c r="L2416" t="s">
        <v>20</v>
      </c>
      <c r="M2416" t="s">
        <v>9417</v>
      </c>
    </row>
    <row r="2417" spans="1:13" x14ac:dyDescent="0.25">
      <c r="A2417">
        <v>6760607</v>
      </c>
      <c r="B2417" t="s">
        <v>9418</v>
      </c>
      <c r="C2417" t="str">
        <f>"9783732851683"</f>
        <v>9783732851683</v>
      </c>
      <c r="D2417" t="str">
        <f>"9783839451687"</f>
        <v>9783839451687</v>
      </c>
      <c r="E2417" t="s">
        <v>8919</v>
      </c>
      <c r="F2417" s="1">
        <v>43922</v>
      </c>
      <c r="G2417" t="s">
        <v>9419</v>
      </c>
      <c r="H2417" t="s">
        <v>70</v>
      </c>
      <c r="I2417" t="s">
        <v>9420</v>
      </c>
      <c r="L2417" t="s">
        <v>291</v>
      </c>
      <c r="M2417" t="s">
        <v>9421</v>
      </c>
    </row>
    <row r="2418" spans="1:13" x14ac:dyDescent="0.25">
      <c r="A2418">
        <v>6760727</v>
      </c>
      <c r="B2418" t="s">
        <v>9422</v>
      </c>
      <c r="C2418" t="str">
        <f>"9783837657388"</f>
        <v>9783837657388</v>
      </c>
      <c r="D2418" t="str">
        <f>"9783839457382"</f>
        <v>9783839457382</v>
      </c>
      <c r="E2418" t="s">
        <v>8919</v>
      </c>
      <c r="F2418" s="1">
        <v>44228</v>
      </c>
      <c r="G2418" t="s">
        <v>9423</v>
      </c>
      <c r="H2418" t="s">
        <v>64</v>
      </c>
      <c r="L2418" t="s">
        <v>20</v>
      </c>
      <c r="M2418" t="s">
        <v>9424</v>
      </c>
    </row>
    <row r="2419" spans="1:13" x14ac:dyDescent="0.25">
      <c r="A2419">
        <v>6760825</v>
      </c>
      <c r="B2419" t="s">
        <v>9425</v>
      </c>
      <c r="C2419" t="str">
        <f>"9783837644852"</f>
        <v>9783837644852</v>
      </c>
      <c r="D2419" t="str">
        <f>"9783839444856"</f>
        <v>9783839444856</v>
      </c>
      <c r="E2419" t="s">
        <v>8919</v>
      </c>
      <c r="F2419" s="1">
        <v>43831</v>
      </c>
      <c r="G2419" t="s">
        <v>9426</v>
      </c>
      <c r="H2419" t="s">
        <v>363</v>
      </c>
      <c r="L2419" t="s">
        <v>291</v>
      </c>
      <c r="M2419" t="s">
        <v>9427</v>
      </c>
    </row>
    <row r="2420" spans="1:13" x14ac:dyDescent="0.25">
      <c r="A2420">
        <v>6760887</v>
      </c>
      <c r="B2420" t="s">
        <v>9428</v>
      </c>
      <c r="C2420" t="str">
        <f>"9783732853106"</f>
        <v>9783732853106</v>
      </c>
      <c r="D2420" t="str">
        <f>"9783839453100"</f>
        <v>9783839453100</v>
      </c>
      <c r="E2420" t="s">
        <v>8919</v>
      </c>
      <c r="F2420" s="1">
        <v>44013</v>
      </c>
      <c r="G2420" t="s">
        <v>9429</v>
      </c>
      <c r="H2420" t="s">
        <v>30</v>
      </c>
      <c r="L2420" t="s">
        <v>20</v>
      </c>
      <c r="M2420" t="s">
        <v>9430</v>
      </c>
    </row>
    <row r="2421" spans="1:13" x14ac:dyDescent="0.25">
      <c r="A2421">
        <v>6760913</v>
      </c>
      <c r="B2421" t="s">
        <v>9431</v>
      </c>
      <c r="C2421" t="str">
        <f>"9783837651515"</f>
        <v>9783837651515</v>
      </c>
      <c r="D2421" t="str">
        <f>"9783839451519"</f>
        <v>9783839451519</v>
      </c>
      <c r="E2421" t="s">
        <v>8919</v>
      </c>
      <c r="F2421" s="1">
        <v>43922</v>
      </c>
      <c r="G2421" t="s">
        <v>9432</v>
      </c>
      <c r="H2421" t="s">
        <v>64</v>
      </c>
      <c r="L2421" t="s">
        <v>291</v>
      </c>
      <c r="M2421" t="s">
        <v>9433</v>
      </c>
    </row>
    <row r="2422" spans="1:13" x14ac:dyDescent="0.25">
      <c r="A2422">
        <v>6760966</v>
      </c>
      <c r="B2422" t="s">
        <v>9434</v>
      </c>
      <c r="C2422" t="str">
        <f>"9783837641332"</f>
        <v>9783837641332</v>
      </c>
      <c r="D2422" t="str">
        <f>"9783839441336"</f>
        <v>9783839441336</v>
      </c>
      <c r="E2422" t="s">
        <v>8919</v>
      </c>
      <c r="F2422" s="1">
        <v>43374</v>
      </c>
      <c r="G2422" t="s">
        <v>9435</v>
      </c>
      <c r="H2422" t="s">
        <v>64</v>
      </c>
      <c r="L2422" t="s">
        <v>291</v>
      </c>
      <c r="M2422" t="s">
        <v>9436</v>
      </c>
    </row>
    <row r="2423" spans="1:13" x14ac:dyDescent="0.25">
      <c r="A2423">
        <v>6761145</v>
      </c>
      <c r="B2423" t="s">
        <v>9437</v>
      </c>
      <c r="C2423" t="str">
        <f>"9783732850808"</f>
        <v>9783732850808</v>
      </c>
      <c r="D2423" t="str">
        <f>"9783839450802"</f>
        <v>9783839450802</v>
      </c>
      <c r="E2423" t="s">
        <v>8919</v>
      </c>
      <c r="F2423" s="1">
        <v>44317</v>
      </c>
      <c r="G2423" t="s">
        <v>9438</v>
      </c>
      <c r="H2423" t="s">
        <v>64</v>
      </c>
      <c r="L2423" t="s">
        <v>291</v>
      </c>
      <c r="M2423" t="s">
        <v>9439</v>
      </c>
    </row>
    <row r="2424" spans="1:13" x14ac:dyDescent="0.25">
      <c r="A2424">
        <v>6761192</v>
      </c>
      <c r="B2424" t="s">
        <v>9440</v>
      </c>
      <c r="C2424" t="str">
        <f>"9783837655322"</f>
        <v>9783837655322</v>
      </c>
      <c r="D2424" t="str">
        <f>"9783839455326"</f>
        <v>9783839455326</v>
      </c>
      <c r="E2424" t="s">
        <v>8919</v>
      </c>
      <c r="F2424" s="1">
        <v>44256</v>
      </c>
      <c r="G2424" t="s">
        <v>9441</v>
      </c>
      <c r="H2424" t="s">
        <v>64</v>
      </c>
      <c r="L2424" t="s">
        <v>291</v>
      </c>
      <c r="M2424" t="s">
        <v>9442</v>
      </c>
    </row>
    <row r="2425" spans="1:13" x14ac:dyDescent="0.25">
      <c r="A2425">
        <v>6761369</v>
      </c>
      <c r="B2425" t="s">
        <v>9443</v>
      </c>
      <c r="C2425" t="str">
        <f>"9783732850686"</f>
        <v>9783732850686</v>
      </c>
      <c r="D2425" t="str">
        <f>"9783839450680"</f>
        <v>9783839450680</v>
      </c>
      <c r="E2425" t="s">
        <v>8919</v>
      </c>
      <c r="F2425" s="1">
        <v>43891</v>
      </c>
      <c r="G2425" t="s">
        <v>9444</v>
      </c>
      <c r="H2425" t="s">
        <v>139</v>
      </c>
      <c r="I2425" t="s">
        <v>9445</v>
      </c>
      <c r="L2425" t="s">
        <v>291</v>
      </c>
      <c r="M2425" t="s">
        <v>9446</v>
      </c>
    </row>
    <row r="2426" spans="1:13" x14ac:dyDescent="0.25">
      <c r="A2426">
        <v>6761397</v>
      </c>
      <c r="B2426" t="s">
        <v>9447</v>
      </c>
      <c r="C2426" t="str">
        <f>"9783732848881"</f>
        <v>9783732848881</v>
      </c>
      <c r="D2426" t="str">
        <f>"9783839448885"</f>
        <v>9783839448885</v>
      </c>
      <c r="E2426" t="s">
        <v>8919</v>
      </c>
      <c r="F2426" s="1">
        <v>43862</v>
      </c>
      <c r="G2426" t="s">
        <v>9448</v>
      </c>
      <c r="H2426" t="s">
        <v>30</v>
      </c>
      <c r="I2426" t="s">
        <v>9449</v>
      </c>
      <c r="J2426">
        <v>320.49119999999999</v>
      </c>
      <c r="L2426" t="s">
        <v>20</v>
      </c>
      <c r="M2426" t="s">
        <v>9450</v>
      </c>
    </row>
    <row r="2427" spans="1:13" x14ac:dyDescent="0.25">
      <c r="A2427">
        <v>6761415</v>
      </c>
      <c r="B2427" t="s">
        <v>9451</v>
      </c>
      <c r="C2427" t="str">
        <f>"9783732854141"</f>
        <v>9783732854141</v>
      </c>
      <c r="D2427" t="str">
        <f>"9783839454145"</f>
        <v>9783839454145</v>
      </c>
      <c r="E2427" t="s">
        <v>8919</v>
      </c>
      <c r="F2427" s="1">
        <v>44228</v>
      </c>
      <c r="G2427" t="s">
        <v>9452</v>
      </c>
      <c r="H2427" t="s">
        <v>64</v>
      </c>
      <c r="I2427" t="s">
        <v>9453</v>
      </c>
      <c r="L2427" t="s">
        <v>291</v>
      </c>
      <c r="M2427" t="s">
        <v>9454</v>
      </c>
    </row>
    <row r="2428" spans="1:13" x14ac:dyDescent="0.25">
      <c r="A2428">
        <v>6761564</v>
      </c>
      <c r="B2428" t="s">
        <v>9455</v>
      </c>
      <c r="C2428" t="str">
        <f>"9783837653755"</f>
        <v>9783837653755</v>
      </c>
      <c r="D2428" t="str">
        <f>"9783839453759"</f>
        <v>9783839453759</v>
      </c>
      <c r="E2428" t="s">
        <v>8919</v>
      </c>
      <c r="F2428" s="1">
        <v>44105</v>
      </c>
      <c r="G2428" t="s">
        <v>9456</v>
      </c>
      <c r="H2428" t="s">
        <v>64</v>
      </c>
      <c r="L2428" t="s">
        <v>291</v>
      </c>
      <c r="M2428" t="s">
        <v>9457</v>
      </c>
    </row>
    <row r="2429" spans="1:13" x14ac:dyDescent="0.25">
      <c r="A2429">
        <v>6761621</v>
      </c>
      <c r="B2429" t="s">
        <v>9458</v>
      </c>
      <c r="C2429" t="str">
        <f>""</f>
        <v/>
      </c>
      <c r="D2429" t="str">
        <f>"9783839445198"</f>
        <v>9783839445198</v>
      </c>
      <c r="E2429" t="s">
        <v>7934</v>
      </c>
      <c r="F2429" s="1">
        <v>43774</v>
      </c>
      <c r="G2429" t="s">
        <v>9459</v>
      </c>
      <c r="H2429" t="s">
        <v>64</v>
      </c>
      <c r="L2429" t="s">
        <v>20</v>
      </c>
      <c r="M2429" t="s">
        <v>9460</v>
      </c>
    </row>
    <row r="2430" spans="1:13" x14ac:dyDescent="0.25">
      <c r="A2430">
        <v>6761697</v>
      </c>
      <c r="B2430" t="s">
        <v>9461</v>
      </c>
      <c r="C2430" t="str">
        <f>"9783837656688"</f>
        <v>9783837656688</v>
      </c>
      <c r="D2430" t="str">
        <f>"9783839456682"</f>
        <v>9783839456682</v>
      </c>
      <c r="E2430" t="s">
        <v>8919</v>
      </c>
      <c r="F2430" s="1">
        <v>44317</v>
      </c>
      <c r="G2430" t="s">
        <v>9462</v>
      </c>
      <c r="H2430" t="s">
        <v>30</v>
      </c>
      <c r="L2430" t="s">
        <v>291</v>
      </c>
      <c r="M2430" t="s">
        <v>9463</v>
      </c>
    </row>
    <row r="2431" spans="1:13" x14ac:dyDescent="0.25">
      <c r="A2431">
        <v>6761723</v>
      </c>
      <c r="B2431" t="s">
        <v>9464</v>
      </c>
      <c r="C2431" t="str">
        <f>"9783837650488"</f>
        <v>9783837650488</v>
      </c>
      <c r="D2431" t="str">
        <f>"9783839450482"</f>
        <v>9783839450482</v>
      </c>
      <c r="E2431" t="s">
        <v>8919</v>
      </c>
      <c r="F2431" s="1">
        <v>43922</v>
      </c>
      <c r="G2431" t="s">
        <v>9465</v>
      </c>
      <c r="H2431" t="s">
        <v>70</v>
      </c>
      <c r="I2431" t="s">
        <v>9466</v>
      </c>
      <c r="L2431" t="s">
        <v>20</v>
      </c>
      <c r="M2431" t="s">
        <v>9467</v>
      </c>
    </row>
    <row r="2432" spans="1:13" x14ac:dyDescent="0.25">
      <c r="A2432">
        <v>6761744</v>
      </c>
      <c r="B2432" t="s">
        <v>9468</v>
      </c>
      <c r="C2432" t="str">
        <f>"9783837657852"</f>
        <v>9783837657852</v>
      </c>
      <c r="D2432" t="str">
        <f>"9783839457856"</f>
        <v>9783839457856</v>
      </c>
      <c r="E2432" t="s">
        <v>8919</v>
      </c>
      <c r="F2432" s="1">
        <v>44256</v>
      </c>
      <c r="G2432" t="s">
        <v>9469</v>
      </c>
      <c r="H2432" t="s">
        <v>310</v>
      </c>
      <c r="L2432" t="s">
        <v>291</v>
      </c>
      <c r="M2432" t="s">
        <v>9470</v>
      </c>
    </row>
    <row r="2433" spans="1:13" x14ac:dyDescent="0.25">
      <c r="A2433">
        <v>6761794</v>
      </c>
      <c r="B2433" t="s">
        <v>9471</v>
      </c>
      <c r="C2433" t="str">
        <f>"9783837654851"</f>
        <v>9783837654851</v>
      </c>
      <c r="D2433" t="str">
        <f>"9783839454855"</f>
        <v>9783839454855</v>
      </c>
      <c r="E2433" t="s">
        <v>8919</v>
      </c>
      <c r="F2433" s="1">
        <v>44256</v>
      </c>
      <c r="G2433" t="s">
        <v>9472</v>
      </c>
      <c r="H2433" t="s">
        <v>310</v>
      </c>
      <c r="L2433" t="s">
        <v>20</v>
      </c>
      <c r="M2433" t="s">
        <v>9473</v>
      </c>
    </row>
    <row r="2434" spans="1:13" x14ac:dyDescent="0.25">
      <c r="A2434">
        <v>6761900</v>
      </c>
      <c r="B2434" t="s">
        <v>9474</v>
      </c>
      <c r="C2434" t="str">
        <f>"9783837648744"</f>
        <v>9783837648744</v>
      </c>
      <c r="D2434" t="str">
        <f>"9783839448748"</f>
        <v>9783839448748</v>
      </c>
      <c r="E2434" t="s">
        <v>8919</v>
      </c>
      <c r="F2434" s="1">
        <v>44013</v>
      </c>
      <c r="G2434" t="s">
        <v>9475</v>
      </c>
      <c r="H2434" t="s">
        <v>806</v>
      </c>
      <c r="L2434" t="s">
        <v>291</v>
      </c>
      <c r="M2434" t="s">
        <v>9476</v>
      </c>
    </row>
    <row r="2435" spans="1:13" x14ac:dyDescent="0.25">
      <c r="A2435">
        <v>6761923</v>
      </c>
      <c r="B2435" t="s">
        <v>9477</v>
      </c>
      <c r="C2435" t="str">
        <f>"9783837642162"</f>
        <v>9783837642162</v>
      </c>
      <c r="D2435" t="str">
        <f>"9783839442166"</f>
        <v>9783839442166</v>
      </c>
      <c r="E2435" t="s">
        <v>8919</v>
      </c>
      <c r="F2435" s="1">
        <v>43191</v>
      </c>
      <c r="G2435" t="s">
        <v>9478</v>
      </c>
      <c r="H2435" t="s">
        <v>64</v>
      </c>
      <c r="L2435" t="s">
        <v>291</v>
      </c>
      <c r="M2435" t="s">
        <v>9479</v>
      </c>
    </row>
    <row r="2436" spans="1:13" x14ac:dyDescent="0.25">
      <c r="A2436">
        <v>6761967</v>
      </c>
      <c r="B2436" t="s">
        <v>9480</v>
      </c>
      <c r="C2436" t="str">
        <f>"9783837651263"</f>
        <v>9783837651263</v>
      </c>
      <c r="D2436" t="str">
        <f>"9783839451267"</f>
        <v>9783839451267</v>
      </c>
      <c r="E2436" t="s">
        <v>8919</v>
      </c>
      <c r="F2436" s="1">
        <v>44256</v>
      </c>
      <c r="G2436" t="s">
        <v>9481</v>
      </c>
      <c r="H2436" t="s">
        <v>30</v>
      </c>
      <c r="I2436" t="s">
        <v>9482</v>
      </c>
      <c r="L2436" t="s">
        <v>20</v>
      </c>
      <c r="M2436" t="s">
        <v>9483</v>
      </c>
    </row>
    <row r="2437" spans="1:13" x14ac:dyDescent="0.25">
      <c r="A2437">
        <v>6761990</v>
      </c>
      <c r="B2437" t="s">
        <v>9484</v>
      </c>
      <c r="C2437" t="str">
        <f>"9783837653816"</f>
        <v>9783837653816</v>
      </c>
      <c r="D2437" t="str">
        <f>"9783839453810"</f>
        <v>9783839453810</v>
      </c>
      <c r="E2437" t="s">
        <v>8919</v>
      </c>
      <c r="F2437" s="1">
        <v>43983</v>
      </c>
      <c r="G2437" t="s">
        <v>9125</v>
      </c>
      <c r="H2437" t="s">
        <v>30</v>
      </c>
      <c r="L2437" t="s">
        <v>291</v>
      </c>
      <c r="M2437" t="s">
        <v>9485</v>
      </c>
    </row>
    <row r="2438" spans="1:13" x14ac:dyDescent="0.25">
      <c r="A2438">
        <v>6762011</v>
      </c>
      <c r="B2438" t="s">
        <v>9486</v>
      </c>
      <c r="C2438" t="str">
        <f>"9783837651164"</f>
        <v>9783837651164</v>
      </c>
      <c r="D2438" t="str">
        <f>"9783839451168"</f>
        <v>9783839451168</v>
      </c>
      <c r="E2438" t="s">
        <v>8919</v>
      </c>
      <c r="F2438" s="1">
        <v>43891</v>
      </c>
      <c r="G2438" t="s">
        <v>9487</v>
      </c>
      <c r="H2438" t="s">
        <v>64</v>
      </c>
      <c r="L2438" t="s">
        <v>291</v>
      </c>
      <c r="M2438" t="s">
        <v>9488</v>
      </c>
    </row>
    <row r="2439" spans="1:13" x14ac:dyDescent="0.25">
      <c r="A2439">
        <v>6762098</v>
      </c>
      <c r="B2439" t="s">
        <v>9489</v>
      </c>
      <c r="C2439" t="str">
        <f>"9783732853762"</f>
        <v>9783732853762</v>
      </c>
      <c r="D2439" t="str">
        <f>"9783839453766"</f>
        <v>9783839453766</v>
      </c>
      <c r="E2439" t="s">
        <v>8919</v>
      </c>
      <c r="F2439" s="1">
        <v>44166</v>
      </c>
      <c r="G2439" t="s">
        <v>9490</v>
      </c>
      <c r="H2439" t="s">
        <v>30</v>
      </c>
      <c r="L2439" t="s">
        <v>291</v>
      </c>
      <c r="M2439" t="s">
        <v>9491</v>
      </c>
    </row>
    <row r="2440" spans="1:13" x14ac:dyDescent="0.25">
      <c r="A2440">
        <v>6762133</v>
      </c>
      <c r="B2440" t="s">
        <v>9492</v>
      </c>
      <c r="C2440" t="str">
        <f>"9783732852055"</f>
        <v>9783732852055</v>
      </c>
      <c r="D2440" t="str">
        <f>"9783839452059"</f>
        <v>9783839452059</v>
      </c>
      <c r="E2440" t="s">
        <v>8919</v>
      </c>
      <c r="F2440" s="1">
        <v>44105</v>
      </c>
      <c r="G2440" t="s">
        <v>9493</v>
      </c>
      <c r="H2440" t="s">
        <v>16</v>
      </c>
      <c r="L2440" t="s">
        <v>291</v>
      </c>
      <c r="M2440" t="s">
        <v>9494</v>
      </c>
    </row>
    <row r="2441" spans="1:13" x14ac:dyDescent="0.25">
      <c r="A2441">
        <v>6762324</v>
      </c>
      <c r="B2441" t="s">
        <v>9495</v>
      </c>
      <c r="C2441" t="str">
        <f>"9783837651140"</f>
        <v>9783837651140</v>
      </c>
      <c r="D2441" t="str">
        <f>"9783839451144"</f>
        <v>9783839451144</v>
      </c>
      <c r="E2441" t="s">
        <v>8919</v>
      </c>
      <c r="F2441" s="1">
        <v>44075</v>
      </c>
      <c r="G2441" t="s">
        <v>9496</v>
      </c>
      <c r="H2441" t="s">
        <v>64</v>
      </c>
      <c r="L2441" t="s">
        <v>20</v>
      </c>
      <c r="M2441" t="s">
        <v>9497</v>
      </c>
    </row>
    <row r="2442" spans="1:13" x14ac:dyDescent="0.25">
      <c r="A2442">
        <v>6762371</v>
      </c>
      <c r="B2442" t="s">
        <v>9498</v>
      </c>
      <c r="C2442" t="str">
        <f>"9783732856480"</f>
        <v>9783732856480</v>
      </c>
      <c r="D2442" t="str">
        <f>"9783839456484"</f>
        <v>9783839456484</v>
      </c>
      <c r="E2442" t="s">
        <v>8919</v>
      </c>
      <c r="F2442" s="1">
        <v>44287</v>
      </c>
      <c r="G2442" t="s">
        <v>9499</v>
      </c>
      <c r="H2442" t="s">
        <v>30</v>
      </c>
      <c r="L2442" t="s">
        <v>291</v>
      </c>
      <c r="M2442" t="s">
        <v>9500</v>
      </c>
    </row>
    <row r="2443" spans="1:13" x14ac:dyDescent="0.25">
      <c r="A2443">
        <v>6762431</v>
      </c>
      <c r="B2443" t="s">
        <v>9501</v>
      </c>
      <c r="C2443" t="str">
        <f>"9783732856039"</f>
        <v>9783732856039</v>
      </c>
      <c r="D2443" t="str">
        <f>"9783839456033"</f>
        <v>9783839456033</v>
      </c>
      <c r="E2443" t="s">
        <v>8919</v>
      </c>
      <c r="F2443" s="1">
        <v>44287</v>
      </c>
      <c r="G2443" t="s">
        <v>9502</v>
      </c>
      <c r="H2443" t="s">
        <v>64</v>
      </c>
      <c r="L2443" t="s">
        <v>291</v>
      </c>
      <c r="M2443" t="s">
        <v>9503</v>
      </c>
    </row>
    <row r="2444" spans="1:13" x14ac:dyDescent="0.25">
      <c r="A2444">
        <v>6762562</v>
      </c>
      <c r="B2444" t="s">
        <v>9504</v>
      </c>
      <c r="C2444" t="str">
        <f>"9783732853281"</f>
        <v>9783732853281</v>
      </c>
      <c r="D2444" t="str">
        <f>"9783839453285"</f>
        <v>9783839453285</v>
      </c>
      <c r="E2444" t="s">
        <v>8919</v>
      </c>
      <c r="F2444" s="1">
        <v>44075</v>
      </c>
      <c r="G2444" t="s">
        <v>9505</v>
      </c>
      <c r="H2444" t="s">
        <v>64</v>
      </c>
      <c r="L2444" t="s">
        <v>291</v>
      </c>
      <c r="M2444" t="s">
        <v>9506</v>
      </c>
    </row>
    <row r="2445" spans="1:13" x14ac:dyDescent="0.25">
      <c r="A2445">
        <v>6762654</v>
      </c>
      <c r="B2445" t="s">
        <v>9507</v>
      </c>
      <c r="C2445" t="str">
        <f>"9783732850723"</f>
        <v>9783732850723</v>
      </c>
      <c r="D2445" t="str">
        <f>"9783839450727"</f>
        <v>9783839450727</v>
      </c>
      <c r="E2445" t="s">
        <v>8919</v>
      </c>
      <c r="F2445" s="1">
        <v>43952</v>
      </c>
      <c r="G2445" t="s">
        <v>9508</v>
      </c>
      <c r="H2445" t="s">
        <v>363</v>
      </c>
      <c r="L2445" t="s">
        <v>291</v>
      </c>
      <c r="M2445" t="s">
        <v>9509</v>
      </c>
    </row>
    <row r="2446" spans="1:13" x14ac:dyDescent="0.25">
      <c r="A2446">
        <v>6762657</v>
      </c>
      <c r="B2446" t="s">
        <v>9510</v>
      </c>
      <c r="C2446" t="str">
        <f>"9783837649086"</f>
        <v>9783837649086</v>
      </c>
      <c r="D2446" t="str">
        <f>"9783839449080"</f>
        <v>9783839449080</v>
      </c>
      <c r="E2446" t="s">
        <v>8919</v>
      </c>
      <c r="F2446" s="1">
        <v>43952</v>
      </c>
      <c r="G2446" t="s">
        <v>9511</v>
      </c>
      <c r="H2446" t="s">
        <v>64</v>
      </c>
      <c r="L2446" t="s">
        <v>291</v>
      </c>
      <c r="M2446" t="s">
        <v>9512</v>
      </c>
    </row>
    <row r="2447" spans="1:13" x14ac:dyDescent="0.25">
      <c r="A2447">
        <v>6762764</v>
      </c>
      <c r="B2447" t="s">
        <v>9513</v>
      </c>
      <c r="C2447" t="str">
        <f>"9783837648270"</f>
        <v>9783837648270</v>
      </c>
      <c r="D2447" t="str">
        <f>"9783839448274"</f>
        <v>9783839448274</v>
      </c>
      <c r="E2447" t="s">
        <v>8919</v>
      </c>
      <c r="F2447" s="1">
        <v>43952</v>
      </c>
      <c r="G2447" t="s">
        <v>9514</v>
      </c>
      <c r="H2447" t="s">
        <v>64</v>
      </c>
      <c r="I2447" t="s">
        <v>9515</v>
      </c>
      <c r="L2447" t="s">
        <v>20</v>
      </c>
      <c r="M2447" t="s">
        <v>9516</v>
      </c>
    </row>
    <row r="2448" spans="1:13" x14ac:dyDescent="0.25">
      <c r="A2448">
        <v>6762773</v>
      </c>
      <c r="B2448" t="s">
        <v>9517</v>
      </c>
      <c r="C2448" t="str">
        <f>"9783837655971"</f>
        <v>9783837655971</v>
      </c>
      <c r="D2448" t="str">
        <f>"9783839455975"</f>
        <v>9783839455975</v>
      </c>
      <c r="E2448" t="s">
        <v>8919</v>
      </c>
      <c r="F2448" s="1">
        <v>44287</v>
      </c>
      <c r="G2448" t="s">
        <v>9518</v>
      </c>
      <c r="H2448" t="s">
        <v>64</v>
      </c>
      <c r="L2448" t="s">
        <v>291</v>
      </c>
      <c r="M2448" t="s">
        <v>9519</v>
      </c>
    </row>
    <row r="2449" spans="1:13" x14ac:dyDescent="0.25">
      <c r="A2449">
        <v>6762852</v>
      </c>
      <c r="B2449" t="s">
        <v>9520</v>
      </c>
      <c r="C2449" t="str">
        <f>"9783837641080"</f>
        <v>9783837641080</v>
      </c>
      <c r="D2449" t="str">
        <f>"9783839441084"</f>
        <v>9783839441084</v>
      </c>
      <c r="E2449" t="s">
        <v>8919</v>
      </c>
      <c r="F2449" s="1">
        <v>43282</v>
      </c>
      <c r="G2449" t="s">
        <v>9521</v>
      </c>
      <c r="H2449" t="s">
        <v>64</v>
      </c>
      <c r="L2449" t="s">
        <v>20</v>
      </c>
      <c r="M2449" t="s">
        <v>9522</v>
      </c>
    </row>
    <row r="2450" spans="1:13" x14ac:dyDescent="0.25">
      <c r="A2450">
        <v>6762914</v>
      </c>
      <c r="B2450" t="s">
        <v>9523</v>
      </c>
      <c r="C2450" t="str">
        <f>"9783837656541"</f>
        <v>9783837656541</v>
      </c>
      <c r="D2450" t="str">
        <f>"9783839456545"</f>
        <v>9783839456545</v>
      </c>
      <c r="E2450" t="s">
        <v>8919</v>
      </c>
      <c r="F2450" s="1">
        <v>44287</v>
      </c>
      <c r="G2450" t="s">
        <v>9524</v>
      </c>
      <c r="H2450" t="s">
        <v>30</v>
      </c>
      <c r="L2450" t="s">
        <v>291</v>
      </c>
      <c r="M2450" t="s">
        <v>9525</v>
      </c>
    </row>
    <row r="2451" spans="1:13" x14ac:dyDescent="0.25">
      <c r="A2451">
        <v>6763086</v>
      </c>
      <c r="B2451" t="s">
        <v>9526</v>
      </c>
      <c r="C2451" t="str">
        <f>"9783837637939"</f>
        <v>9783837637939</v>
      </c>
      <c r="D2451" t="str">
        <f>"9783839437933"</f>
        <v>9783839437933</v>
      </c>
      <c r="E2451" t="s">
        <v>8919</v>
      </c>
      <c r="F2451" s="1">
        <v>43282</v>
      </c>
      <c r="G2451" t="s">
        <v>9527</v>
      </c>
      <c r="H2451" t="s">
        <v>70</v>
      </c>
      <c r="J2451" t="s">
        <v>9528</v>
      </c>
      <c r="L2451" t="s">
        <v>20</v>
      </c>
      <c r="M2451" t="s">
        <v>9529</v>
      </c>
    </row>
    <row r="2452" spans="1:13" x14ac:dyDescent="0.25">
      <c r="A2452">
        <v>6763297</v>
      </c>
      <c r="B2452" t="s">
        <v>9530</v>
      </c>
      <c r="C2452" t="str">
        <f>"9783837657296"</f>
        <v>9783837657296</v>
      </c>
      <c r="D2452" t="str">
        <f>"9783839457290"</f>
        <v>9783839457290</v>
      </c>
      <c r="E2452" t="s">
        <v>8919</v>
      </c>
      <c r="F2452" s="1">
        <v>44348</v>
      </c>
      <c r="G2452" t="s">
        <v>9531</v>
      </c>
      <c r="H2452" t="s">
        <v>70</v>
      </c>
      <c r="L2452" t="s">
        <v>20</v>
      </c>
      <c r="M2452" t="s">
        <v>9532</v>
      </c>
    </row>
    <row r="2453" spans="1:13" x14ac:dyDescent="0.25">
      <c r="A2453">
        <v>6763442</v>
      </c>
      <c r="B2453" t="s">
        <v>9533</v>
      </c>
      <c r="C2453" t="str">
        <f>"9783837655292"</f>
        <v>9783837655292</v>
      </c>
      <c r="D2453" t="str">
        <f>"9783839455296"</f>
        <v>9783839455296</v>
      </c>
      <c r="E2453" t="s">
        <v>8919</v>
      </c>
      <c r="F2453" s="1">
        <v>44256</v>
      </c>
      <c r="G2453" t="s">
        <v>9534</v>
      </c>
      <c r="H2453" t="s">
        <v>30</v>
      </c>
      <c r="L2453" t="s">
        <v>20</v>
      </c>
      <c r="M2453" t="s">
        <v>9535</v>
      </c>
    </row>
    <row r="2454" spans="1:13" x14ac:dyDescent="0.25">
      <c r="A2454">
        <v>6763648</v>
      </c>
      <c r="B2454" t="s">
        <v>9536</v>
      </c>
      <c r="C2454" t="str">
        <f>"9783732858224"</f>
        <v>9783732858224</v>
      </c>
      <c r="D2454" t="str">
        <f>"9783839458228"</f>
        <v>9783839458228</v>
      </c>
      <c r="E2454" t="s">
        <v>8919</v>
      </c>
      <c r="F2454" s="1">
        <v>44348</v>
      </c>
      <c r="G2454" t="s">
        <v>9537</v>
      </c>
      <c r="H2454" t="s">
        <v>30</v>
      </c>
      <c r="L2454" t="s">
        <v>291</v>
      </c>
      <c r="M2454" t="s">
        <v>9538</v>
      </c>
    </row>
    <row r="2455" spans="1:13" x14ac:dyDescent="0.25">
      <c r="A2455">
        <v>6763705</v>
      </c>
      <c r="B2455" t="s">
        <v>9539</v>
      </c>
      <c r="C2455" t="str">
        <f>"9783837650792"</f>
        <v>9783837650792</v>
      </c>
      <c r="D2455" t="str">
        <f>"9783839450796"</f>
        <v>9783839450796</v>
      </c>
      <c r="E2455" t="s">
        <v>8919</v>
      </c>
      <c r="F2455" s="1">
        <v>43831</v>
      </c>
      <c r="G2455" t="s">
        <v>9540</v>
      </c>
      <c r="H2455" t="s">
        <v>2597</v>
      </c>
      <c r="I2455" t="s">
        <v>9541</v>
      </c>
      <c r="L2455" t="s">
        <v>291</v>
      </c>
      <c r="M2455" t="s">
        <v>9542</v>
      </c>
    </row>
    <row r="2456" spans="1:13" x14ac:dyDescent="0.25">
      <c r="A2456">
        <v>6763725</v>
      </c>
      <c r="B2456" t="s">
        <v>9543</v>
      </c>
      <c r="C2456" t="str">
        <f>"9783837650099"</f>
        <v>9783837650099</v>
      </c>
      <c r="D2456" t="str">
        <f>"9783839450093"</f>
        <v>9783839450093</v>
      </c>
      <c r="E2456" t="s">
        <v>8919</v>
      </c>
      <c r="F2456" s="1">
        <v>44075</v>
      </c>
      <c r="G2456" t="s">
        <v>9544</v>
      </c>
      <c r="H2456" t="s">
        <v>64</v>
      </c>
      <c r="L2456" t="s">
        <v>291</v>
      </c>
      <c r="M2456" t="s">
        <v>9545</v>
      </c>
    </row>
    <row r="2457" spans="1:13" x14ac:dyDescent="0.25">
      <c r="A2457">
        <v>6763800</v>
      </c>
      <c r="B2457" t="s">
        <v>9546</v>
      </c>
      <c r="C2457" t="str">
        <f>"9783837650457"</f>
        <v>9783837650457</v>
      </c>
      <c r="D2457" t="str">
        <f>"9783839450451"</f>
        <v>9783839450451</v>
      </c>
      <c r="E2457" t="s">
        <v>8919</v>
      </c>
      <c r="F2457" s="1">
        <v>44105</v>
      </c>
      <c r="G2457" t="s">
        <v>9547</v>
      </c>
      <c r="H2457" t="s">
        <v>310</v>
      </c>
      <c r="I2457" t="s">
        <v>9548</v>
      </c>
      <c r="L2457" t="s">
        <v>291</v>
      </c>
      <c r="M2457" t="s">
        <v>9549</v>
      </c>
    </row>
    <row r="2458" spans="1:13" x14ac:dyDescent="0.25">
      <c r="A2458">
        <v>6764058</v>
      </c>
      <c r="B2458" t="s">
        <v>9550</v>
      </c>
      <c r="C2458" t="str">
        <f>"9783837652673"</f>
        <v>9783837652673</v>
      </c>
      <c r="D2458" t="str">
        <f>"9783839452677"</f>
        <v>9783839452677</v>
      </c>
      <c r="E2458" t="s">
        <v>8919</v>
      </c>
      <c r="F2458" s="1">
        <v>44013</v>
      </c>
      <c r="G2458" t="s">
        <v>9284</v>
      </c>
      <c r="H2458" t="s">
        <v>363</v>
      </c>
      <c r="L2458" t="s">
        <v>291</v>
      </c>
      <c r="M2458" t="s">
        <v>9551</v>
      </c>
    </row>
    <row r="2459" spans="1:13" x14ac:dyDescent="0.25">
      <c r="A2459">
        <v>6764155</v>
      </c>
      <c r="B2459" t="s">
        <v>9552</v>
      </c>
      <c r="C2459" t="str">
        <f>"9783837650136"</f>
        <v>9783837650136</v>
      </c>
      <c r="D2459" t="str">
        <f>"9783839450130"</f>
        <v>9783839450130</v>
      </c>
      <c r="E2459" t="s">
        <v>8919</v>
      </c>
      <c r="F2459" s="1">
        <v>44075</v>
      </c>
      <c r="G2459" t="s">
        <v>9553</v>
      </c>
      <c r="H2459" t="s">
        <v>30</v>
      </c>
      <c r="I2459" t="s">
        <v>9554</v>
      </c>
      <c r="L2459" t="s">
        <v>20</v>
      </c>
      <c r="M2459" t="s">
        <v>9555</v>
      </c>
    </row>
    <row r="2460" spans="1:13" x14ac:dyDescent="0.25">
      <c r="A2460">
        <v>6764187</v>
      </c>
      <c r="B2460" t="s">
        <v>9556</v>
      </c>
      <c r="C2460" t="str">
        <f>"9783837655049"</f>
        <v>9783837655049</v>
      </c>
      <c r="D2460" t="str">
        <f>"9783839455043"</f>
        <v>9783839455043</v>
      </c>
      <c r="E2460" t="s">
        <v>8919</v>
      </c>
      <c r="F2460" s="1">
        <v>44317</v>
      </c>
      <c r="G2460" t="s">
        <v>9557</v>
      </c>
      <c r="H2460" t="s">
        <v>64</v>
      </c>
      <c r="L2460" t="s">
        <v>291</v>
      </c>
      <c r="M2460" t="s">
        <v>9558</v>
      </c>
    </row>
    <row r="2461" spans="1:13" x14ac:dyDescent="0.25">
      <c r="A2461">
        <v>6764223</v>
      </c>
      <c r="B2461" t="s">
        <v>9559</v>
      </c>
      <c r="C2461" t="str">
        <f>"9783837649178"</f>
        <v>9783837649178</v>
      </c>
      <c r="D2461" t="str">
        <f>"9783839449172"</f>
        <v>9783839449172</v>
      </c>
      <c r="E2461" t="s">
        <v>8919</v>
      </c>
      <c r="F2461" s="1">
        <v>44256</v>
      </c>
      <c r="G2461" t="s">
        <v>9560</v>
      </c>
      <c r="H2461" t="s">
        <v>64</v>
      </c>
      <c r="L2461" t="s">
        <v>20</v>
      </c>
      <c r="M2461" t="s">
        <v>9561</v>
      </c>
    </row>
    <row r="2462" spans="1:13" x14ac:dyDescent="0.25">
      <c r="A2462">
        <v>6764384</v>
      </c>
      <c r="B2462" t="s">
        <v>9562</v>
      </c>
      <c r="C2462" t="str">
        <f>"9783732850716"</f>
        <v>9783732850716</v>
      </c>
      <c r="D2462" t="str">
        <f>"9783839450710"</f>
        <v>9783839450710</v>
      </c>
      <c r="E2462" t="s">
        <v>8919</v>
      </c>
      <c r="F2462" s="1">
        <v>44013</v>
      </c>
      <c r="G2462" t="s">
        <v>9563</v>
      </c>
      <c r="H2462" t="s">
        <v>30</v>
      </c>
      <c r="L2462" t="s">
        <v>291</v>
      </c>
      <c r="M2462" t="s">
        <v>9564</v>
      </c>
    </row>
    <row r="2463" spans="1:13" x14ac:dyDescent="0.25">
      <c r="A2463">
        <v>6764473</v>
      </c>
      <c r="B2463" t="s">
        <v>9565</v>
      </c>
      <c r="C2463" t="str">
        <f>"9783837643305"</f>
        <v>9783837643305</v>
      </c>
      <c r="D2463" t="str">
        <f>"9783839443309"</f>
        <v>9783839443309</v>
      </c>
      <c r="E2463" t="s">
        <v>8919</v>
      </c>
      <c r="F2463" s="1">
        <v>43952</v>
      </c>
      <c r="G2463" t="s">
        <v>9566</v>
      </c>
      <c r="H2463" t="s">
        <v>246</v>
      </c>
      <c r="L2463" t="s">
        <v>291</v>
      </c>
      <c r="M2463" t="s">
        <v>9567</v>
      </c>
    </row>
    <row r="2464" spans="1:13" x14ac:dyDescent="0.25">
      <c r="A2464">
        <v>6764529</v>
      </c>
      <c r="B2464" t="s">
        <v>9568</v>
      </c>
      <c r="C2464" t="str">
        <f>"9783837653526"</f>
        <v>9783837653526</v>
      </c>
      <c r="D2464" t="str">
        <f>"9783839453520"</f>
        <v>9783839453520</v>
      </c>
      <c r="E2464" t="s">
        <v>8919</v>
      </c>
      <c r="F2464" s="1">
        <v>44013</v>
      </c>
      <c r="G2464" t="s">
        <v>9569</v>
      </c>
      <c r="H2464" t="s">
        <v>246</v>
      </c>
      <c r="L2464" t="s">
        <v>20</v>
      </c>
      <c r="M2464" t="s">
        <v>9570</v>
      </c>
    </row>
    <row r="2465" spans="1:13" x14ac:dyDescent="0.25">
      <c r="A2465">
        <v>6764540</v>
      </c>
      <c r="B2465" t="s">
        <v>9571</v>
      </c>
      <c r="C2465" t="str">
        <f>""</f>
        <v/>
      </c>
      <c r="D2465" t="str">
        <f>"9780824882402"</f>
        <v>9780824882402</v>
      </c>
      <c r="E2465" t="s">
        <v>9152</v>
      </c>
      <c r="F2465" s="1">
        <v>29465</v>
      </c>
      <c r="G2465" t="s">
        <v>9572</v>
      </c>
      <c r="H2465" t="s">
        <v>780</v>
      </c>
      <c r="L2465" t="s">
        <v>20</v>
      </c>
      <c r="M2465" t="s">
        <v>9573</v>
      </c>
    </row>
    <row r="2466" spans="1:13" x14ac:dyDescent="0.25">
      <c r="A2466">
        <v>6764561</v>
      </c>
      <c r="B2466" t="s">
        <v>9574</v>
      </c>
      <c r="C2466" t="str">
        <f>"9783837657470"</f>
        <v>9783837657470</v>
      </c>
      <c r="D2466" t="str">
        <f>"9783839457474"</f>
        <v>9783839457474</v>
      </c>
      <c r="E2466" t="s">
        <v>8919</v>
      </c>
      <c r="F2466" s="1">
        <v>44348</v>
      </c>
      <c r="G2466" t="s">
        <v>9575</v>
      </c>
      <c r="H2466" t="s">
        <v>64</v>
      </c>
      <c r="L2466" t="s">
        <v>20</v>
      </c>
      <c r="M2466" t="s">
        <v>9576</v>
      </c>
    </row>
    <row r="2467" spans="1:13" x14ac:dyDescent="0.25">
      <c r="A2467">
        <v>6764610</v>
      </c>
      <c r="B2467" t="s">
        <v>9577</v>
      </c>
      <c r="C2467" t="str">
        <f>"9783837654028"</f>
        <v>9783837654028</v>
      </c>
      <c r="D2467" t="str">
        <f>"9783839454022"</f>
        <v>9783839454022</v>
      </c>
      <c r="E2467" t="s">
        <v>8919</v>
      </c>
      <c r="F2467" s="1">
        <v>44256</v>
      </c>
      <c r="G2467" t="s">
        <v>9578</v>
      </c>
      <c r="H2467" t="s">
        <v>64</v>
      </c>
      <c r="L2467" t="s">
        <v>291</v>
      </c>
      <c r="M2467" t="s">
        <v>9579</v>
      </c>
    </row>
    <row r="2468" spans="1:13" x14ac:dyDescent="0.25">
      <c r="A2468">
        <v>6764846</v>
      </c>
      <c r="B2468" t="s">
        <v>9580</v>
      </c>
      <c r="C2468" t="str">
        <f>"9783732852819"</f>
        <v>9783732852819</v>
      </c>
      <c r="D2468" t="str">
        <f>"9783839452813"</f>
        <v>9783839452813</v>
      </c>
      <c r="E2468" t="s">
        <v>8919</v>
      </c>
      <c r="F2468" s="1">
        <v>44348</v>
      </c>
      <c r="G2468" t="s">
        <v>9581</v>
      </c>
      <c r="H2468" t="s">
        <v>64</v>
      </c>
      <c r="L2468" t="s">
        <v>291</v>
      </c>
      <c r="M2468" t="s">
        <v>9582</v>
      </c>
    </row>
    <row r="2469" spans="1:13" x14ac:dyDescent="0.25">
      <c r="A2469">
        <v>6765017</v>
      </c>
      <c r="B2469" t="s">
        <v>9583</v>
      </c>
      <c r="C2469" t="str">
        <f>"9783837655698"</f>
        <v>9783837655698</v>
      </c>
      <c r="D2469" t="str">
        <f>"9783839455692"</f>
        <v>9783839455692</v>
      </c>
      <c r="E2469" t="s">
        <v>8919</v>
      </c>
      <c r="F2469" s="1">
        <v>44197</v>
      </c>
      <c r="G2469" t="s">
        <v>9584</v>
      </c>
      <c r="H2469" t="s">
        <v>246</v>
      </c>
      <c r="L2469" t="s">
        <v>291</v>
      </c>
      <c r="M2469" t="s">
        <v>9585</v>
      </c>
    </row>
    <row r="2470" spans="1:13" x14ac:dyDescent="0.25">
      <c r="A2470">
        <v>6765039</v>
      </c>
      <c r="B2470" t="s">
        <v>9586</v>
      </c>
      <c r="C2470" t="str">
        <f>"9783837641790"</f>
        <v>9783837641790</v>
      </c>
      <c r="D2470" t="str">
        <f>"9783839441794"</f>
        <v>9783839441794</v>
      </c>
      <c r="E2470" t="s">
        <v>8919</v>
      </c>
      <c r="F2470" s="1">
        <v>43160</v>
      </c>
      <c r="G2470" t="s">
        <v>9587</v>
      </c>
      <c r="H2470" t="s">
        <v>64</v>
      </c>
      <c r="L2470" t="s">
        <v>291</v>
      </c>
      <c r="M2470" t="s">
        <v>9588</v>
      </c>
    </row>
    <row r="2471" spans="1:13" x14ac:dyDescent="0.25">
      <c r="A2471">
        <v>6765082</v>
      </c>
      <c r="B2471" t="s">
        <v>9589</v>
      </c>
      <c r="C2471" t="str">
        <f>"9783837651942"</f>
        <v>9783837651942</v>
      </c>
      <c r="D2471" t="str">
        <f>"9783839451946"</f>
        <v>9783839451946</v>
      </c>
      <c r="E2471" t="s">
        <v>8919</v>
      </c>
      <c r="F2471" s="1">
        <v>44013</v>
      </c>
      <c r="G2471" t="s">
        <v>9590</v>
      </c>
      <c r="H2471" t="s">
        <v>64</v>
      </c>
      <c r="L2471" t="s">
        <v>291</v>
      </c>
      <c r="M2471" t="s">
        <v>9591</v>
      </c>
    </row>
    <row r="2472" spans="1:13" x14ac:dyDescent="0.25">
      <c r="A2472">
        <v>6765249</v>
      </c>
      <c r="B2472" t="s">
        <v>9592</v>
      </c>
      <c r="C2472" t="str">
        <f>"9783837652024"</f>
        <v>9783837652024</v>
      </c>
      <c r="D2472" t="str">
        <f>"9783839452028"</f>
        <v>9783839452028</v>
      </c>
      <c r="E2472" t="s">
        <v>8919</v>
      </c>
      <c r="F2472" s="1">
        <v>44256</v>
      </c>
      <c r="G2472" t="s">
        <v>9593</v>
      </c>
      <c r="H2472" t="s">
        <v>64</v>
      </c>
      <c r="L2472" t="s">
        <v>291</v>
      </c>
      <c r="M2472" t="s">
        <v>9594</v>
      </c>
    </row>
    <row r="2473" spans="1:13" x14ac:dyDescent="0.25">
      <c r="A2473">
        <v>6765256</v>
      </c>
      <c r="B2473" t="s">
        <v>9595</v>
      </c>
      <c r="C2473" t="str">
        <f>"9783837650082"</f>
        <v>9783837650082</v>
      </c>
      <c r="D2473" t="str">
        <f>"9783839450086"</f>
        <v>9783839450086</v>
      </c>
      <c r="E2473" t="s">
        <v>8919</v>
      </c>
      <c r="F2473" s="1">
        <v>43952</v>
      </c>
      <c r="G2473" t="s">
        <v>9596</v>
      </c>
      <c r="H2473" t="s">
        <v>246</v>
      </c>
      <c r="L2473" t="s">
        <v>291</v>
      </c>
      <c r="M2473" t="s">
        <v>9597</v>
      </c>
    </row>
    <row r="2474" spans="1:13" x14ac:dyDescent="0.25">
      <c r="A2474">
        <v>6765400</v>
      </c>
      <c r="B2474" t="s">
        <v>9598</v>
      </c>
      <c r="C2474" t="str">
        <f>"9783732856060"</f>
        <v>9783732856060</v>
      </c>
      <c r="D2474" t="str">
        <f>"9783839456064"</f>
        <v>9783839456064</v>
      </c>
      <c r="E2474" t="s">
        <v>8919</v>
      </c>
      <c r="F2474" s="1">
        <v>44287</v>
      </c>
      <c r="G2474" t="s">
        <v>9599</v>
      </c>
      <c r="H2474" t="s">
        <v>64</v>
      </c>
      <c r="L2474" t="s">
        <v>291</v>
      </c>
      <c r="M2474" t="s">
        <v>9600</v>
      </c>
    </row>
    <row r="2475" spans="1:13" x14ac:dyDescent="0.25">
      <c r="A2475">
        <v>6765436</v>
      </c>
      <c r="B2475" t="s">
        <v>9601</v>
      </c>
      <c r="C2475" t="str">
        <f>"9783732831265"</f>
        <v>9783732831265</v>
      </c>
      <c r="D2475" t="str">
        <f>"9783839431269"</f>
        <v>9783839431269</v>
      </c>
      <c r="E2475" t="s">
        <v>8919</v>
      </c>
      <c r="F2475" s="1">
        <v>43009</v>
      </c>
      <c r="G2475" t="s">
        <v>9602</v>
      </c>
      <c r="H2475" t="s">
        <v>64</v>
      </c>
      <c r="L2475" t="s">
        <v>291</v>
      </c>
      <c r="M2475" t="s">
        <v>9603</v>
      </c>
    </row>
    <row r="2476" spans="1:13" x14ac:dyDescent="0.25">
      <c r="A2476">
        <v>6765780</v>
      </c>
      <c r="B2476" t="s">
        <v>9604</v>
      </c>
      <c r="C2476" t="str">
        <f>"9783732854677"</f>
        <v>9783732854677</v>
      </c>
      <c r="D2476" t="str">
        <f>"9783839454671"</f>
        <v>9783839454671</v>
      </c>
      <c r="E2476" t="s">
        <v>8919</v>
      </c>
      <c r="F2476" s="1">
        <v>44256</v>
      </c>
      <c r="G2476" t="s">
        <v>9605</v>
      </c>
      <c r="H2476" t="s">
        <v>64</v>
      </c>
      <c r="L2476" t="s">
        <v>291</v>
      </c>
      <c r="M2476" t="s">
        <v>9606</v>
      </c>
    </row>
    <row r="2477" spans="1:13" x14ac:dyDescent="0.25">
      <c r="A2477">
        <v>6765781</v>
      </c>
      <c r="B2477" t="s">
        <v>9607</v>
      </c>
      <c r="C2477" t="str">
        <f>"9783732855278"</f>
        <v>9783732855278</v>
      </c>
      <c r="D2477" t="str">
        <f>"9783839455272"</f>
        <v>9783839455272</v>
      </c>
      <c r="E2477" t="s">
        <v>8919</v>
      </c>
      <c r="F2477" s="1">
        <v>44166</v>
      </c>
      <c r="G2477" t="s">
        <v>9608</v>
      </c>
      <c r="H2477" t="s">
        <v>246</v>
      </c>
      <c r="L2477" t="s">
        <v>291</v>
      </c>
      <c r="M2477" t="s">
        <v>9609</v>
      </c>
    </row>
    <row r="2478" spans="1:13" x14ac:dyDescent="0.25">
      <c r="A2478">
        <v>6765917</v>
      </c>
      <c r="B2478" t="s">
        <v>9610</v>
      </c>
      <c r="C2478" t="str">
        <f>"9783732856336"</f>
        <v>9783732856336</v>
      </c>
      <c r="D2478" t="str">
        <f>"9783839456330"</f>
        <v>9783839456330</v>
      </c>
      <c r="E2478" t="s">
        <v>8919</v>
      </c>
      <c r="F2478" s="1">
        <v>44287</v>
      </c>
      <c r="G2478" t="s">
        <v>9611</v>
      </c>
      <c r="H2478" t="s">
        <v>64</v>
      </c>
      <c r="L2478" t="s">
        <v>291</v>
      </c>
      <c r="M2478" t="s">
        <v>9612</v>
      </c>
    </row>
    <row r="2479" spans="1:13" x14ac:dyDescent="0.25">
      <c r="A2479">
        <v>6766014</v>
      </c>
      <c r="B2479" t="s">
        <v>9613</v>
      </c>
      <c r="C2479" t="str">
        <f>"9783837632484"</f>
        <v>9783837632484</v>
      </c>
      <c r="D2479" t="str">
        <f>"9783839432488"</f>
        <v>9783839432488</v>
      </c>
      <c r="E2479" t="s">
        <v>8919</v>
      </c>
      <c r="F2479" s="1">
        <v>43252</v>
      </c>
      <c r="G2479" t="s">
        <v>9614</v>
      </c>
      <c r="H2479" t="s">
        <v>70</v>
      </c>
      <c r="L2479" t="s">
        <v>291</v>
      </c>
      <c r="M2479" t="s">
        <v>9615</v>
      </c>
    </row>
    <row r="2480" spans="1:13" x14ac:dyDescent="0.25">
      <c r="A2480">
        <v>6766025</v>
      </c>
      <c r="B2480" t="s">
        <v>9616</v>
      </c>
      <c r="C2480" t="str">
        <f>"9783837656350"</f>
        <v>9783837656350</v>
      </c>
      <c r="D2480" t="str">
        <f>"9783839456354"</f>
        <v>9783839456354</v>
      </c>
      <c r="E2480" t="s">
        <v>8919</v>
      </c>
      <c r="F2480" s="1">
        <v>44287</v>
      </c>
      <c r="G2480" t="s">
        <v>9617</v>
      </c>
      <c r="H2480" t="s">
        <v>30</v>
      </c>
      <c r="L2480" t="s">
        <v>291</v>
      </c>
      <c r="M2480" t="s">
        <v>9618</v>
      </c>
    </row>
    <row r="2481" spans="1:13" x14ac:dyDescent="0.25">
      <c r="A2481">
        <v>6766045</v>
      </c>
      <c r="B2481" t="s">
        <v>9619</v>
      </c>
      <c r="C2481" t="str">
        <f>"9783837655711"</f>
        <v>9783837655711</v>
      </c>
      <c r="D2481" t="str">
        <f>"9783839455715"</f>
        <v>9783839455715</v>
      </c>
      <c r="E2481" t="s">
        <v>8919</v>
      </c>
      <c r="F2481" s="1">
        <v>44166</v>
      </c>
      <c r="G2481" t="s">
        <v>9620</v>
      </c>
      <c r="H2481" t="s">
        <v>9621</v>
      </c>
      <c r="L2481" t="s">
        <v>291</v>
      </c>
      <c r="M2481" t="s">
        <v>9622</v>
      </c>
    </row>
    <row r="2482" spans="1:13" x14ac:dyDescent="0.25">
      <c r="A2482">
        <v>6766061</v>
      </c>
      <c r="B2482" t="s">
        <v>9623</v>
      </c>
      <c r="C2482" t="str">
        <f>"9783837646405"</f>
        <v>9783837646405</v>
      </c>
      <c r="D2482" t="str">
        <f>"9783839446409"</f>
        <v>9783839446409</v>
      </c>
      <c r="E2482" t="s">
        <v>8919</v>
      </c>
      <c r="F2482" s="1">
        <v>44105</v>
      </c>
      <c r="G2482" t="s">
        <v>9624</v>
      </c>
      <c r="H2482" t="s">
        <v>16</v>
      </c>
      <c r="L2482" t="s">
        <v>20</v>
      </c>
      <c r="M2482" t="s">
        <v>9625</v>
      </c>
    </row>
    <row r="2483" spans="1:13" x14ac:dyDescent="0.25">
      <c r="A2483">
        <v>6766187</v>
      </c>
      <c r="B2483" t="s">
        <v>9626</v>
      </c>
      <c r="C2483" t="str">
        <f>"9783837651973"</f>
        <v>9783837651973</v>
      </c>
      <c r="D2483" t="str">
        <f>"9783839451977"</f>
        <v>9783839451977</v>
      </c>
      <c r="E2483" t="s">
        <v>8919</v>
      </c>
      <c r="F2483" s="1">
        <v>44166</v>
      </c>
      <c r="G2483" t="s">
        <v>9627</v>
      </c>
      <c r="H2483" t="s">
        <v>806</v>
      </c>
      <c r="L2483" t="s">
        <v>291</v>
      </c>
      <c r="M2483" t="s">
        <v>9628</v>
      </c>
    </row>
    <row r="2484" spans="1:13" x14ac:dyDescent="0.25">
      <c r="A2484">
        <v>6768315</v>
      </c>
      <c r="B2484" t="s">
        <v>9629</v>
      </c>
      <c r="C2484" t="str">
        <f>"9789811227875"</f>
        <v>9789811227875</v>
      </c>
      <c r="D2484" t="str">
        <f>"9789811227882"</f>
        <v>9789811227882</v>
      </c>
      <c r="E2484" t="s">
        <v>4445</v>
      </c>
      <c r="F2484" s="1">
        <v>44306</v>
      </c>
      <c r="G2484" t="s">
        <v>9630</v>
      </c>
      <c r="H2484" t="s">
        <v>266</v>
      </c>
      <c r="L2484" t="s">
        <v>20</v>
      </c>
      <c r="M2484" t="s">
        <v>9631</v>
      </c>
    </row>
    <row r="2485" spans="1:13" x14ac:dyDescent="0.25">
      <c r="A2485">
        <v>6768316</v>
      </c>
      <c r="B2485" t="s">
        <v>9632</v>
      </c>
      <c r="C2485" t="str">
        <f>"9789811232695"</f>
        <v>9789811232695</v>
      </c>
      <c r="D2485" t="str">
        <f>"9789811232701"</f>
        <v>9789811232701</v>
      </c>
      <c r="E2485" t="s">
        <v>4445</v>
      </c>
      <c r="F2485" s="1">
        <v>44159</v>
      </c>
      <c r="G2485" t="s">
        <v>4955</v>
      </c>
      <c r="H2485" t="s">
        <v>9633</v>
      </c>
      <c r="L2485" t="s">
        <v>20</v>
      </c>
      <c r="M2485" t="s">
        <v>9634</v>
      </c>
    </row>
    <row r="2486" spans="1:13" x14ac:dyDescent="0.25">
      <c r="A2486">
        <v>6768937</v>
      </c>
      <c r="B2486" t="s">
        <v>9635</v>
      </c>
      <c r="C2486" t="str">
        <f>"9780939512416"</f>
        <v>9780939512416</v>
      </c>
      <c r="D2486" t="str">
        <f>"9780472880027"</f>
        <v>9780472880027</v>
      </c>
      <c r="E2486" t="s">
        <v>7076</v>
      </c>
      <c r="F2486" s="1">
        <v>33178</v>
      </c>
      <c r="G2486" t="s">
        <v>9636</v>
      </c>
      <c r="H2486" t="s">
        <v>70</v>
      </c>
      <c r="I2486" t="s">
        <v>9637</v>
      </c>
      <c r="J2486" t="s">
        <v>9638</v>
      </c>
      <c r="L2486" t="s">
        <v>20</v>
      </c>
      <c r="M2486" t="s">
        <v>9639</v>
      </c>
    </row>
    <row r="2487" spans="1:13" x14ac:dyDescent="0.25">
      <c r="A2487">
        <v>6784231</v>
      </c>
      <c r="B2487" t="s">
        <v>9640</v>
      </c>
      <c r="C2487" t="str">
        <f>"9783658343033"</f>
        <v>9783658343033</v>
      </c>
      <c r="D2487" t="str">
        <f>"9783658343040"</f>
        <v>9783658343040</v>
      </c>
      <c r="E2487" t="s">
        <v>4472</v>
      </c>
      <c r="F2487" s="1">
        <v>44485</v>
      </c>
      <c r="G2487" t="s">
        <v>9641</v>
      </c>
      <c r="H2487" t="s">
        <v>363</v>
      </c>
      <c r="I2487" t="s">
        <v>8164</v>
      </c>
      <c r="L2487" t="s">
        <v>291</v>
      </c>
      <c r="M2487" t="s">
        <v>9642</v>
      </c>
    </row>
    <row r="2488" spans="1:13" x14ac:dyDescent="0.25">
      <c r="A2488">
        <v>6784232</v>
      </c>
      <c r="B2488" t="s">
        <v>9643</v>
      </c>
      <c r="C2488" t="str">
        <f>"9783658343347"</f>
        <v>9783658343347</v>
      </c>
      <c r="D2488" t="str">
        <f>"9783658343354"</f>
        <v>9783658343354</v>
      </c>
      <c r="E2488" t="s">
        <v>4472</v>
      </c>
      <c r="F2488" s="1">
        <v>44485</v>
      </c>
      <c r="G2488" t="s">
        <v>9644</v>
      </c>
      <c r="H2488" t="s">
        <v>64</v>
      </c>
      <c r="I2488" t="s">
        <v>9645</v>
      </c>
      <c r="L2488" t="s">
        <v>291</v>
      </c>
      <c r="M2488" t="s">
        <v>9646</v>
      </c>
    </row>
    <row r="2489" spans="1:13" x14ac:dyDescent="0.25">
      <c r="A2489">
        <v>6786043</v>
      </c>
      <c r="B2489" t="s">
        <v>9647</v>
      </c>
      <c r="C2489" t="str">
        <f>"9783865277824"</f>
        <v>9783865277824</v>
      </c>
      <c r="D2489" t="str">
        <f>"9783954871070"</f>
        <v>9783954871070</v>
      </c>
      <c r="E2489" t="s">
        <v>9648</v>
      </c>
      <c r="F2489" s="1">
        <v>41275</v>
      </c>
      <c r="G2489" t="s">
        <v>9649</v>
      </c>
      <c r="H2489" t="s">
        <v>30</v>
      </c>
      <c r="L2489" t="s">
        <v>291</v>
      </c>
      <c r="M2489" t="s">
        <v>9650</v>
      </c>
    </row>
    <row r="2490" spans="1:13" x14ac:dyDescent="0.25">
      <c r="A2490">
        <v>6787726</v>
      </c>
      <c r="B2490" t="s">
        <v>9651</v>
      </c>
      <c r="C2490" t="str">
        <f>"9789811640940"</f>
        <v>9789811640940</v>
      </c>
      <c r="D2490" t="str">
        <f>"9789811640957"</f>
        <v>9789811640957</v>
      </c>
      <c r="E2490" t="s">
        <v>4099</v>
      </c>
      <c r="F2490" s="1">
        <v>44489</v>
      </c>
      <c r="G2490" t="s">
        <v>9652</v>
      </c>
      <c r="H2490" t="s">
        <v>712</v>
      </c>
      <c r="I2490" t="s">
        <v>4553</v>
      </c>
      <c r="L2490" t="s">
        <v>20</v>
      </c>
      <c r="M2490" t="s">
        <v>9653</v>
      </c>
    </row>
    <row r="2491" spans="1:13" x14ac:dyDescent="0.25">
      <c r="A2491">
        <v>6789170</v>
      </c>
      <c r="B2491" t="s">
        <v>9654</v>
      </c>
      <c r="C2491" t="str">
        <f>""</f>
        <v/>
      </c>
      <c r="D2491" t="str">
        <f>"9781789249118"</f>
        <v>9781789249118</v>
      </c>
      <c r="E2491" t="s">
        <v>4836</v>
      </c>
      <c r="F2491" s="1">
        <v>44499</v>
      </c>
      <c r="G2491" t="s">
        <v>9655</v>
      </c>
      <c r="H2491" t="s">
        <v>2614</v>
      </c>
      <c r="J2491">
        <v>572.83799999999997</v>
      </c>
      <c r="L2491" t="s">
        <v>20</v>
      </c>
      <c r="M2491" t="s">
        <v>9656</v>
      </c>
    </row>
    <row r="2492" spans="1:13" x14ac:dyDescent="0.25">
      <c r="A2492">
        <v>6789405</v>
      </c>
      <c r="B2492" t="s">
        <v>9657</v>
      </c>
      <c r="C2492" t="str">
        <f>"9781800642553"</f>
        <v>9781800642553</v>
      </c>
      <c r="D2492" t="str">
        <f>"9781800642560"</f>
        <v>9781800642560</v>
      </c>
      <c r="E2492" t="s">
        <v>2270</v>
      </c>
      <c r="F2492" s="1">
        <v>44454</v>
      </c>
      <c r="G2492" t="s">
        <v>9658</v>
      </c>
      <c r="H2492" t="s">
        <v>9659</v>
      </c>
      <c r="L2492" t="s">
        <v>20</v>
      </c>
      <c r="M2492" t="s">
        <v>9660</v>
      </c>
    </row>
    <row r="2493" spans="1:13" x14ac:dyDescent="0.25">
      <c r="A2493">
        <v>6789406</v>
      </c>
      <c r="B2493" t="s">
        <v>9661</v>
      </c>
      <c r="C2493" t="str">
        <f>"9781800641471"</f>
        <v>9781800641471</v>
      </c>
      <c r="D2493" t="str">
        <f>"9781800641488"</f>
        <v>9781800641488</v>
      </c>
      <c r="E2493" t="s">
        <v>2270</v>
      </c>
      <c r="F2493" s="1">
        <v>44464</v>
      </c>
      <c r="G2493" t="s">
        <v>9662</v>
      </c>
      <c r="H2493" t="s">
        <v>1137</v>
      </c>
      <c r="L2493" t="s">
        <v>20</v>
      </c>
      <c r="M2493" t="s">
        <v>9663</v>
      </c>
    </row>
    <row r="2494" spans="1:13" x14ac:dyDescent="0.25">
      <c r="A2494">
        <v>6789528</v>
      </c>
      <c r="B2494" t="s">
        <v>9664</v>
      </c>
      <c r="C2494" t="str">
        <f>"9783030885823"</f>
        <v>9783030885823</v>
      </c>
      <c r="D2494" t="str">
        <f>"9783030885830"</f>
        <v>9783030885830</v>
      </c>
      <c r="E2494" t="s">
        <v>2905</v>
      </c>
      <c r="F2494" s="1">
        <v>44492</v>
      </c>
      <c r="G2494" t="s">
        <v>9665</v>
      </c>
      <c r="H2494" t="s">
        <v>712</v>
      </c>
      <c r="I2494" t="s">
        <v>4774</v>
      </c>
      <c r="L2494" t="s">
        <v>20</v>
      </c>
      <c r="M2494" t="s">
        <v>9666</v>
      </c>
    </row>
    <row r="2495" spans="1:13" x14ac:dyDescent="0.25">
      <c r="A2495">
        <v>6789529</v>
      </c>
      <c r="B2495" t="s">
        <v>9667</v>
      </c>
      <c r="C2495" t="str">
        <f>"9783662632857"</f>
        <v>9783662632857</v>
      </c>
      <c r="D2495" t="str">
        <f>"9783662632864"</f>
        <v>9783662632864</v>
      </c>
      <c r="E2495" t="s">
        <v>4540</v>
      </c>
      <c r="F2495" s="1">
        <v>44492</v>
      </c>
      <c r="G2495" t="s">
        <v>9668</v>
      </c>
      <c r="H2495" t="s">
        <v>1056</v>
      </c>
      <c r="I2495" t="s">
        <v>9669</v>
      </c>
      <c r="L2495" t="s">
        <v>291</v>
      </c>
      <c r="M2495" t="s">
        <v>9670</v>
      </c>
    </row>
    <row r="2496" spans="1:13" x14ac:dyDescent="0.25">
      <c r="A2496">
        <v>6789530</v>
      </c>
      <c r="B2496" t="s">
        <v>9671</v>
      </c>
      <c r="C2496" t="str">
        <f>"9789811606793"</f>
        <v>9789811606793</v>
      </c>
      <c r="D2496" t="str">
        <f>"9789811606809"</f>
        <v>9789811606809</v>
      </c>
      <c r="E2496" t="s">
        <v>2906</v>
      </c>
      <c r="F2496" s="1">
        <v>44492</v>
      </c>
      <c r="G2496" t="s">
        <v>9672</v>
      </c>
      <c r="H2496" t="s">
        <v>83</v>
      </c>
      <c r="I2496" t="s">
        <v>4749</v>
      </c>
      <c r="L2496" t="s">
        <v>20</v>
      </c>
      <c r="M2496" t="s">
        <v>9673</v>
      </c>
    </row>
    <row r="2497" spans="1:13" x14ac:dyDescent="0.25">
      <c r="A2497">
        <v>6789986</v>
      </c>
      <c r="B2497" t="s">
        <v>9674</v>
      </c>
      <c r="C2497" t="str">
        <f>"9783030843427"</f>
        <v>9783030843427</v>
      </c>
      <c r="D2497" t="str">
        <f>"9783030843434"</f>
        <v>9783030843434</v>
      </c>
      <c r="E2497" t="s">
        <v>2905</v>
      </c>
      <c r="F2497" s="1">
        <v>44492</v>
      </c>
      <c r="G2497" t="s">
        <v>9675</v>
      </c>
      <c r="H2497" t="s">
        <v>363</v>
      </c>
      <c r="I2497" t="s">
        <v>4507</v>
      </c>
      <c r="J2497">
        <v>371.33010000000002</v>
      </c>
      <c r="L2497" t="s">
        <v>20</v>
      </c>
      <c r="M2497" t="s">
        <v>9676</v>
      </c>
    </row>
    <row r="2498" spans="1:13" x14ac:dyDescent="0.25">
      <c r="A2498">
        <v>6790720</v>
      </c>
      <c r="B2498" t="s">
        <v>9677</v>
      </c>
      <c r="C2498" t="str">
        <f>"9789811652479"</f>
        <v>9789811652479</v>
      </c>
      <c r="D2498" t="str">
        <f>"9789811652486"</f>
        <v>9789811652486</v>
      </c>
      <c r="E2498" t="s">
        <v>2906</v>
      </c>
      <c r="F2498" s="1">
        <v>44493</v>
      </c>
      <c r="G2498" t="s">
        <v>9678</v>
      </c>
      <c r="H2498" t="s">
        <v>266</v>
      </c>
      <c r="I2498" t="s">
        <v>5440</v>
      </c>
      <c r="L2498" t="s">
        <v>20</v>
      </c>
      <c r="M2498" t="s">
        <v>9679</v>
      </c>
    </row>
    <row r="2499" spans="1:13" x14ac:dyDescent="0.25">
      <c r="A2499">
        <v>6790721</v>
      </c>
      <c r="B2499" t="s">
        <v>9680</v>
      </c>
      <c r="C2499" t="str">
        <f>"9783030783334"</f>
        <v>9783030783334</v>
      </c>
      <c r="D2499" t="str">
        <f>"9783030783341"</f>
        <v>9783030783341</v>
      </c>
      <c r="E2499" t="s">
        <v>2905</v>
      </c>
      <c r="F2499" s="1">
        <v>44493</v>
      </c>
      <c r="G2499" t="s">
        <v>9681</v>
      </c>
      <c r="H2499" t="s">
        <v>1753</v>
      </c>
      <c r="I2499" t="s">
        <v>9682</v>
      </c>
      <c r="L2499" t="s">
        <v>20</v>
      </c>
      <c r="M2499" t="s">
        <v>9683</v>
      </c>
    </row>
    <row r="2500" spans="1:13" x14ac:dyDescent="0.25">
      <c r="A2500">
        <v>6791473</v>
      </c>
      <c r="B2500" t="s">
        <v>9684</v>
      </c>
      <c r="C2500" t="str">
        <f>"9789633864111"</f>
        <v>9789633864111</v>
      </c>
      <c r="D2500" t="str">
        <f>"9789633864128"</f>
        <v>9789633864128</v>
      </c>
      <c r="E2500" t="s">
        <v>2263</v>
      </c>
      <c r="F2500" s="1">
        <v>44545</v>
      </c>
      <c r="G2500" t="s">
        <v>9685</v>
      </c>
      <c r="H2500" t="s">
        <v>1753</v>
      </c>
      <c r="L2500" t="s">
        <v>20</v>
      </c>
      <c r="M2500" t="s">
        <v>9686</v>
      </c>
    </row>
    <row r="2501" spans="1:13" x14ac:dyDescent="0.25">
      <c r="A2501">
        <v>6792516</v>
      </c>
      <c r="B2501" t="s">
        <v>9687</v>
      </c>
      <c r="C2501" t="str">
        <f>"9783030729363"</f>
        <v>9783030729363</v>
      </c>
      <c r="D2501" t="str">
        <f>"9783030729370"</f>
        <v>9783030729370</v>
      </c>
      <c r="E2501" t="s">
        <v>2905</v>
      </c>
      <c r="F2501" s="1">
        <v>44495</v>
      </c>
      <c r="G2501" t="s">
        <v>9688</v>
      </c>
      <c r="H2501" t="s">
        <v>1624</v>
      </c>
      <c r="I2501" t="s">
        <v>4592</v>
      </c>
      <c r="J2501">
        <v>362.1</v>
      </c>
      <c r="L2501" t="s">
        <v>20</v>
      </c>
      <c r="M2501" t="s">
        <v>9689</v>
      </c>
    </row>
    <row r="2502" spans="1:13" x14ac:dyDescent="0.25">
      <c r="A2502">
        <v>6792517</v>
      </c>
      <c r="B2502" t="s">
        <v>9690</v>
      </c>
      <c r="C2502" t="str">
        <f>"9783658357108"</f>
        <v>9783658357108</v>
      </c>
      <c r="D2502" t="str">
        <f>"9783658357115"</f>
        <v>9783658357115</v>
      </c>
      <c r="E2502" t="s">
        <v>4472</v>
      </c>
      <c r="F2502" s="1">
        <v>44495</v>
      </c>
      <c r="G2502" t="s">
        <v>9691</v>
      </c>
      <c r="H2502" t="s">
        <v>64</v>
      </c>
      <c r="I2502" t="s">
        <v>9692</v>
      </c>
      <c r="L2502" t="s">
        <v>291</v>
      </c>
      <c r="M2502" t="s">
        <v>9693</v>
      </c>
    </row>
    <row r="2503" spans="1:13" x14ac:dyDescent="0.25">
      <c r="A2503">
        <v>6792518</v>
      </c>
      <c r="B2503" t="s">
        <v>9694</v>
      </c>
      <c r="C2503" t="str">
        <f>"9783030771263"</f>
        <v>9783030771263</v>
      </c>
      <c r="D2503" t="str">
        <f>"9783030771270"</f>
        <v>9783030771270</v>
      </c>
      <c r="E2503" t="s">
        <v>2905</v>
      </c>
      <c r="F2503" s="1">
        <v>44495</v>
      </c>
      <c r="G2503" t="s">
        <v>9695</v>
      </c>
      <c r="H2503" t="s">
        <v>83</v>
      </c>
      <c r="I2503" t="s">
        <v>4749</v>
      </c>
      <c r="L2503" t="s">
        <v>20</v>
      </c>
      <c r="M2503" t="s">
        <v>9696</v>
      </c>
    </row>
    <row r="2504" spans="1:13" x14ac:dyDescent="0.25">
      <c r="A2504">
        <v>6792519</v>
      </c>
      <c r="B2504" t="s">
        <v>9697</v>
      </c>
      <c r="C2504" t="str">
        <f>"9783662620434"</f>
        <v>9783662620434</v>
      </c>
      <c r="D2504" t="str">
        <f>"9783662620441"</f>
        <v>9783662620441</v>
      </c>
      <c r="E2504" t="s">
        <v>4540</v>
      </c>
      <c r="F2504" s="1">
        <v>44495</v>
      </c>
      <c r="G2504" t="s">
        <v>9698</v>
      </c>
      <c r="H2504" t="s">
        <v>266</v>
      </c>
      <c r="I2504" t="s">
        <v>5505</v>
      </c>
      <c r="L2504" t="s">
        <v>291</v>
      </c>
      <c r="M2504" t="s">
        <v>9699</v>
      </c>
    </row>
    <row r="2505" spans="1:13" x14ac:dyDescent="0.25">
      <c r="A2505">
        <v>6792520</v>
      </c>
      <c r="B2505" t="s">
        <v>9700</v>
      </c>
      <c r="C2505" t="str">
        <f>"9783030839246"</f>
        <v>9783030839246</v>
      </c>
      <c r="D2505" t="str">
        <f>"9783030839253"</f>
        <v>9783030839253</v>
      </c>
      <c r="E2505" t="s">
        <v>2905</v>
      </c>
      <c r="F2505" s="1">
        <v>44495</v>
      </c>
      <c r="G2505" t="s">
        <v>9701</v>
      </c>
      <c r="H2505" t="s">
        <v>9702</v>
      </c>
      <c r="I2505" t="s">
        <v>9703</v>
      </c>
      <c r="J2505">
        <v>296.68</v>
      </c>
      <c r="L2505" t="s">
        <v>20</v>
      </c>
      <c r="M2505" t="s">
        <v>9704</v>
      </c>
    </row>
    <row r="2506" spans="1:13" x14ac:dyDescent="0.25">
      <c r="A2506">
        <v>6794040</v>
      </c>
      <c r="B2506" t="s">
        <v>9705</v>
      </c>
      <c r="C2506" t="str">
        <f>"9783662639283"</f>
        <v>9783662639283</v>
      </c>
      <c r="D2506" t="str">
        <f>"9783662639290"</f>
        <v>9783662639290</v>
      </c>
      <c r="E2506" t="s">
        <v>4540</v>
      </c>
      <c r="F2506" s="1">
        <v>44495</v>
      </c>
      <c r="G2506" t="s">
        <v>9706</v>
      </c>
      <c r="H2506" t="s">
        <v>2597</v>
      </c>
      <c r="I2506" t="s">
        <v>4560</v>
      </c>
      <c r="L2506" t="s">
        <v>291</v>
      </c>
      <c r="M2506" t="s">
        <v>9707</v>
      </c>
    </row>
    <row r="2507" spans="1:13" x14ac:dyDescent="0.25">
      <c r="A2507">
        <v>6794041</v>
      </c>
      <c r="B2507" t="s">
        <v>9708</v>
      </c>
      <c r="C2507" t="str">
        <f>"9783030831134"</f>
        <v>9783030831134</v>
      </c>
      <c r="D2507" t="str">
        <f>"9783030831141"</f>
        <v>9783030831141</v>
      </c>
      <c r="E2507" t="s">
        <v>2905</v>
      </c>
      <c r="F2507" s="1">
        <v>44497</v>
      </c>
      <c r="G2507" t="s">
        <v>9709</v>
      </c>
      <c r="H2507" t="s">
        <v>239</v>
      </c>
      <c r="I2507" t="s">
        <v>5229</v>
      </c>
      <c r="L2507" t="s">
        <v>20</v>
      </c>
      <c r="M2507" t="s">
        <v>9710</v>
      </c>
    </row>
    <row r="2508" spans="1:13" x14ac:dyDescent="0.25">
      <c r="A2508">
        <v>6794664</v>
      </c>
      <c r="B2508" t="s">
        <v>9711</v>
      </c>
      <c r="C2508" t="str">
        <f>"9781478013594"</f>
        <v>9781478013594</v>
      </c>
      <c r="D2508" t="str">
        <f>"9781478091745"</f>
        <v>9781478091745</v>
      </c>
      <c r="E2508" t="s">
        <v>3113</v>
      </c>
      <c r="F2508" s="1">
        <v>44491</v>
      </c>
      <c r="G2508" t="s">
        <v>9712</v>
      </c>
      <c r="H2508" t="s">
        <v>70</v>
      </c>
      <c r="I2508" t="s">
        <v>9713</v>
      </c>
      <c r="J2508">
        <v>810.98960730090403</v>
      </c>
      <c r="L2508" t="s">
        <v>20</v>
      </c>
      <c r="M2508" t="s">
        <v>9714</v>
      </c>
    </row>
    <row r="2509" spans="1:13" x14ac:dyDescent="0.25">
      <c r="A2509">
        <v>6795398</v>
      </c>
      <c r="B2509" t="s">
        <v>9715</v>
      </c>
      <c r="C2509" t="str">
        <f>"9783030785505"</f>
        <v>9783030785505</v>
      </c>
      <c r="D2509" t="str">
        <f>"9783030785512"</f>
        <v>9783030785512</v>
      </c>
      <c r="E2509" t="s">
        <v>2905</v>
      </c>
      <c r="F2509" s="1">
        <v>44497</v>
      </c>
      <c r="G2509" t="s">
        <v>9716</v>
      </c>
      <c r="H2509" t="s">
        <v>239</v>
      </c>
      <c r="I2509" t="s">
        <v>5229</v>
      </c>
      <c r="L2509" t="s">
        <v>20</v>
      </c>
      <c r="M2509" t="s">
        <v>9717</v>
      </c>
    </row>
    <row r="2510" spans="1:13" x14ac:dyDescent="0.25">
      <c r="A2510">
        <v>6795399</v>
      </c>
      <c r="B2510" t="s">
        <v>9718</v>
      </c>
      <c r="C2510" t="str">
        <f>"9783658328481"</f>
        <v>9783658328481</v>
      </c>
      <c r="D2510" t="str">
        <f>"9783658328498"</f>
        <v>9783658328498</v>
      </c>
      <c r="E2510" t="s">
        <v>4472</v>
      </c>
      <c r="F2510" s="1">
        <v>44497</v>
      </c>
      <c r="G2510" t="s">
        <v>9719</v>
      </c>
      <c r="H2510" t="s">
        <v>363</v>
      </c>
      <c r="I2510" t="s">
        <v>4507</v>
      </c>
      <c r="L2510" t="s">
        <v>291</v>
      </c>
      <c r="M2510" t="s">
        <v>9720</v>
      </c>
    </row>
    <row r="2511" spans="1:13" x14ac:dyDescent="0.25">
      <c r="A2511">
        <v>6795858</v>
      </c>
      <c r="B2511" t="s">
        <v>9721</v>
      </c>
      <c r="C2511" t="str">
        <f>""</f>
        <v/>
      </c>
      <c r="D2511" t="str">
        <f>"9782759234394"</f>
        <v>9782759234394</v>
      </c>
      <c r="E2511" t="s">
        <v>2434</v>
      </c>
      <c r="F2511" s="1">
        <v>44497</v>
      </c>
      <c r="G2511" t="s">
        <v>9722</v>
      </c>
      <c r="H2511" t="s">
        <v>9723</v>
      </c>
      <c r="L2511" t="s">
        <v>1279</v>
      </c>
      <c r="M2511" t="s">
        <v>9724</v>
      </c>
    </row>
    <row r="2512" spans="1:13" x14ac:dyDescent="0.25">
      <c r="A2512">
        <v>6796033</v>
      </c>
      <c r="B2512" t="s">
        <v>9725</v>
      </c>
      <c r="C2512" t="str">
        <f>"9781478010357"</f>
        <v>9781478010357</v>
      </c>
      <c r="D2512" t="str">
        <f>"9781478012993"</f>
        <v>9781478012993</v>
      </c>
      <c r="E2512" t="s">
        <v>3113</v>
      </c>
      <c r="F2512" s="1">
        <v>44211</v>
      </c>
      <c r="G2512" t="s">
        <v>9726</v>
      </c>
      <c r="H2512" t="s">
        <v>30</v>
      </c>
      <c r="I2512" t="s">
        <v>9727</v>
      </c>
      <c r="J2512">
        <v>327.12730866090402</v>
      </c>
      <c r="L2512" t="s">
        <v>20</v>
      </c>
      <c r="M2512" t="s">
        <v>9728</v>
      </c>
    </row>
    <row r="2513" spans="1:13" x14ac:dyDescent="0.25">
      <c r="A2513">
        <v>6796069</v>
      </c>
      <c r="B2513" t="s">
        <v>9729</v>
      </c>
      <c r="C2513" t="str">
        <f>"9783030820510"</f>
        <v>9783030820510</v>
      </c>
      <c r="D2513" t="str">
        <f>"9783030820527"</f>
        <v>9783030820527</v>
      </c>
      <c r="E2513" t="s">
        <v>2905</v>
      </c>
      <c r="F2513" s="1">
        <v>44498</v>
      </c>
      <c r="G2513" t="s">
        <v>9730</v>
      </c>
      <c r="H2513" t="s">
        <v>266</v>
      </c>
      <c r="I2513" t="s">
        <v>5505</v>
      </c>
      <c r="L2513" t="s">
        <v>20</v>
      </c>
      <c r="M2513" t="s">
        <v>9731</v>
      </c>
    </row>
    <row r="2514" spans="1:13" x14ac:dyDescent="0.25">
      <c r="A2514">
        <v>6796354</v>
      </c>
      <c r="B2514" t="s">
        <v>9732</v>
      </c>
      <c r="C2514" t="str">
        <f>"9789402421149"</f>
        <v>9789402421149</v>
      </c>
      <c r="D2514" t="str">
        <f>"9789402421156"</f>
        <v>9789402421156</v>
      </c>
      <c r="E2514" t="s">
        <v>4612</v>
      </c>
      <c r="F2514" s="1">
        <v>44491</v>
      </c>
      <c r="G2514" t="s">
        <v>9733</v>
      </c>
      <c r="H2514" t="s">
        <v>4180</v>
      </c>
      <c r="I2514" t="s">
        <v>4766</v>
      </c>
      <c r="L2514" t="s">
        <v>20</v>
      </c>
      <c r="M2514" t="s">
        <v>9734</v>
      </c>
    </row>
    <row r="2515" spans="1:13" x14ac:dyDescent="0.25">
      <c r="A2515">
        <v>6796477</v>
      </c>
      <c r="B2515" t="s">
        <v>9735</v>
      </c>
      <c r="C2515" t="str">
        <f>"9783030821661"</f>
        <v>9783030821661</v>
      </c>
      <c r="D2515" t="str">
        <f>"9783030821678"</f>
        <v>9783030821678</v>
      </c>
      <c r="E2515" t="s">
        <v>2905</v>
      </c>
      <c r="F2515" s="1">
        <v>44500</v>
      </c>
      <c r="G2515" t="s">
        <v>9736</v>
      </c>
      <c r="H2515" t="s">
        <v>1056</v>
      </c>
      <c r="I2515" t="s">
        <v>7448</v>
      </c>
      <c r="L2515" t="s">
        <v>20</v>
      </c>
      <c r="M2515" t="s">
        <v>9737</v>
      </c>
    </row>
    <row r="2516" spans="1:13" x14ac:dyDescent="0.25">
      <c r="A2516">
        <v>6796478</v>
      </c>
      <c r="B2516" t="s">
        <v>9738</v>
      </c>
      <c r="C2516" t="str">
        <f>"9783030807900"</f>
        <v>9783030807900</v>
      </c>
      <c r="D2516" t="str">
        <f>"9783030807917"</f>
        <v>9783030807917</v>
      </c>
      <c r="E2516" t="s">
        <v>2905</v>
      </c>
      <c r="F2516" s="1">
        <v>44501</v>
      </c>
      <c r="G2516" t="s">
        <v>9739</v>
      </c>
      <c r="H2516" t="s">
        <v>3247</v>
      </c>
      <c r="I2516" t="s">
        <v>8873</v>
      </c>
      <c r="J2516">
        <v>363.346</v>
      </c>
      <c r="L2516" t="s">
        <v>20</v>
      </c>
      <c r="M2516" t="s">
        <v>9740</v>
      </c>
    </row>
    <row r="2517" spans="1:13" x14ac:dyDescent="0.25">
      <c r="A2517">
        <v>6796479</v>
      </c>
      <c r="B2517" t="s">
        <v>9741</v>
      </c>
      <c r="C2517" t="str">
        <f>"9783030803018"</f>
        <v>9783030803018</v>
      </c>
      <c r="D2517" t="str">
        <f>"9783030803025"</f>
        <v>9783030803025</v>
      </c>
      <c r="E2517" t="s">
        <v>2905</v>
      </c>
      <c r="F2517" s="1">
        <v>44501</v>
      </c>
      <c r="G2517" t="s">
        <v>9742</v>
      </c>
      <c r="H2517" t="s">
        <v>64</v>
      </c>
      <c r="I2517" t="s">
        <v>5305</v>
      </c>
      <c r="L2517" t="s">
        <v>20</v>
      </c>
      <c r="M2517" t="s">
        <v>9743</v>
      </c>
    </row>
    <row r="2518" spans="1:13" x14ac:dyDescent="0.25">
      <c r="A2518">
        <v>6796730</v>
      </c>
      <c r="B2518" t="s">
        <v>9744</v>
      </c>
      <c r="C2518" t="str">
        <f>"9780472073818"</f>
        <v>9780472073818</v>
      </c>
      <c r="D2518" t="str">
        <f>"9780472901081"</f>
        <v>9780472901081</v>
      </c>
      <c r="E2518" t="s">
        <v>6708</v>
      </c>
      <c r="F2518" s="1">
        <v>43281</v>
      </c>
      <c r="G2518" t="s">
        <v>9745</v>
      </c>
      <c r="H2518" t="s">
        <v>246</v>
      </c>
      <c r="I2518" t="s">
        <v>9746</v>
      </c>
      <c r="L2518" t="s">
        <v>20</v>
      </c>
      <c r="M2518" t="s">
        <v>9747</v>
      </c>
    </row>
    <row r="2519" spans="1:13" x14ac:dyDescent="0.25">
      <c r="A2519">
        <v>6797321</v>
      </c>
      <c r="B2519" t="s">
        <v>9748</v>
      </c>
      <c r="C2519" t="str">
        <f>"9780472130313"</f>
        <v>9780472130313</v>
      </c>
      <c r="D2519" t="str">
        <f>"9780472900756"</f>
        <v>9780472900756</v>
      </c>
      <c r="E2519" t="s">
        <v>6708</v>
      </c>
      <c r="F2519" s="1">
        <v>42795</v>
      </c>
      <c r="G2519" t="s">
        <v>9749</v>
      </c>
      <c r="H2519" t="s">
        <v>246</v>
      </c>
      <c r="I2519" t="s">
        <v>9750</v>
      </c>
      <c r="J2519">
        <v>780.95100000000002</v>
      </c>
      <c r="L2519" t="s">
        <v>20</v>
      </c>
      <c r="M2519" t="s">
        <v>9751</v>
      </c>
    </row>
    <row r="2520" spans="1:13" x14ac:dyDescent="0.25">
      <c r="A2520">
        <v>6798120</v>
      </c>
      <c r="B2520" t="s">
        <v>9752</v>
      </c>
      <c r="C2520" t="str">
        <f>"9783030892357"</f>
        <v>9783030892357</v>
      </c>
      <c r="D2520" t="str">
        <f>"9783030892364"</f>
        <v>9783030892364</v>
      </c>
      <c r="E2520" t="s">
        <v>2905</v>
      </c>
      <c r="F2520" s="1">
        <v>44503</v>
      </c>
      <c r="G2520" t="s">
        <v>9753</v>
      </c>
      <c r="H2520" t="s">
        <v>7499</v>
      </c>
      <c r="I2520" t="s">
        <v>4876</v>
      </c>
      <c r="J2520">
        <v>306.07100000000003</v>
      </c>
      <c r="L2520" t="s">
        <v>20</v>
      </c>
      <c r="M2520" t="s">
        <v>9754</v>
      </c>
    </row>
    <row r="2521" spans="1:13" x14ac:dyDescent="0.25">
      <c r="A2521">
        <v>6798731</v>
      </c>
      <c r="B2521" t="s">
        <v>9755</v>
      </c>
      <c r="C2521" t="str">
        <f>"9783030885120"</f>
        <v>9783030885120</v>
      </c>
      <c r="D2521" t="str">
        <f>"9783030885137"</f>
        <v>9783030885137</v>
      </c>
      <c r="E2521" t="s">
        <v>2905</v>
      </c>
      <c r="F2521" s="1">
        <v>44504</v>
      </c>
      <c r="G2521" t="s">
        <v>9756</v>
      </c>
      <c r="H2521" t="s">
        <v>30</v>
      </c>
      <c r="I2521" t="s">
        <v>4734</v>
      </c>
      <c r="L2521" t="s">
        <v>20</v>
      </c>
      <c r="M2521" t="s">
        <v>9757</v>
      </c>
    </row>
    <row r="2522" spans="1:13" x14ac:dyDescent="0.25">
      <c r="A2522">
        <v>6798732</v>
      </c>
      <c r="B2522" t="s">
        <v>9758</v>
      </c>
      <c r="C2522" t="str">
        <f>"9783030714567"</f>
        <v>9783030714567</v>
      </c>
      <c r="D2522" t="str">
        <f>"9783030714574"</f>
        <v>9783030714574</v>
      </c>
      <c r="E2522" t="s">
        <v>2905</v>
      </c>
      <c r="F2522" s="1">
        <v>44504</v>
      </c>
      <c r="G2522" t="s">
        <v>9759</v>
      </c>
      <c r="H2522" t="s">
        <v>1753</v>
      </c>
      <c r="I2522" t="s">
        <v>4753</v>
      </c>
      <c r="L2522" t="s">
        <v>20</v>
      </c>
      <c r="M2522" t="s">
        <v>9760</v>
      </c>
    </row>
    <row r="2523" spans="1:13" x14ac:dyDescent="0.25">
      <c r="A2523">
        <v>6798733</v>
      </c>
      <c r="B2523" t="s">
        <v>9761</v>
      </c>
      <c r="C2523" t="str">
        <f>"9783030805180"</f>
        <v>9783030805180</v>
      </c>
      <c r="D2523" t="str">
        <f>"9783030805197"</f>
        <v>9783030805197</v>
      </c>
      <c r="E2523" t="s">
        <v>2905</v>
      </c>
      <c r="F2523" s="1">
        <v>44504</v>
      </c>
      <c r="G2523" t="s">
        <v>9762</v>
      </c>
      <c r="H2523" t="s">
        <v>1753</v>
      </c>
      <c r="I2523" t="s">
        <v>9763</v>
      </c>
      <c r="L2523" t="s">
        <v>20</v>
      </c>
      <c r="M2523" t="s">
        <v>9764</v>
      </c>
    </row>
    <row r="2524" spans="1:13" x14ac:dyDescent="0.25">
      <c r="A2524">
        <v>6798965</v>
      </c>
      <c r="B2524" t="s">
        <v>9765</v>
      </c>
      <c r="C2524" t="str">
        <f>"9789633863718"</f>
        <v>9789633863718</v>
      </c>
      <c r="D2524" t="str">
        <f>"9789633863701"</f>
        <v>9789633863701</v>
      </c>
      <c r="E2524" t="s">
        <v>2263</v>
      </c>
      <c r="F2524" s="1">
        <v>44151</v>
      </c>
      <c r="G2524" t="s">
        <v>9766</v>
      </c>
      <c r="H2524" t="s">
        <v>64</v>
      </c>
      <c r="I2524" t="s">
        <v>9767</v>
      </c>
      <c r="L2524" t="s">
        <v>20</v>
      </c>
      <c r="M2524" t="s">
        <v>9768</v>
      </c>
    </row>
    <row r="2525" spans="1:13" x14ac:dyDescent="0.25">
      <c r="A2525">
        <v>6798966</v>
      </c>
      <c r="B2525" t="s">
        <v>9769</v>
      </c>
      <c r="C2525" t="str">
        <f>"9789633863695"</f>
        <v>9789633863695</v>
      </c>
      <c r="D2525" t="str">
        <f>"9789633863688"</f>
        <v>9789633863688</v>
      </c>
      <c r="E2525" t="s">
        <v>2263</v>
      </c>
      <c r="F2525" s="1">
        <v>44285</v>
      </c>
      <c r="G2525" t="s">
        <v>9770</v>
      </c>
      <c r="H2525" t="s">
        <v>743</v>
      </c>
      <c r="L2525" t="s">
        <v>20</v>
      </c>
      <c r="M2525" t="s">
        <v>9771</v>
      </c>
    </row>
    <row r="2526" spans="1:13" x14ac:dyDescent="0.25">
      <c r="A2526">
        <v>6798967</v>
      </c>
      <c r="B2526" t="s">
        <v>9772</v>
      </c>
      <c r="C2526" t="str">
        <f>"9789633863657"</f>
        <v>9789633863657</v>
      </c>
      <c r="D2526" t="str">
        <f>"9789633863640"</f>
        <v>9789633863640</v>
      </c>
      <c r="E2526" t="s">
        <v>2263</v>
      </c>
      <c r="F2526" s="1">
        <v>44347</v>
      </c>
      <c r="G2526" t="s">
        <v>9773</v>
      </c>
      <c r="H2526" t="s">
        <v>146</v>
      </c>
      <c r="L2526" t="s">
        <v>20</v>
      </c>
      <c r="M2526" t="s">
        <v>9774</v>
      </c>
    </row>
    <row r="2527" spans="1:13" x14ac:dyDescent="0.25">
      <c r="A2527">
        <v>6798968</v>
      </c>
      <c r="B2527" t="s">
        <v>9775</v>
      </c>
      <c r="C2527" t="str">
        <f>"9789633863671"</f>
        <v>9789633863671</v>
      </c>
      <c r="D2527" t="str">
        <f>"9789633863664"</f>
        <v>9789633863664</v>
      </c>
      <c r="E2527" t="s">
        <v>2263</v>
      </c>
      <c r="F2527" s="1">
        <v>44270</v>
      </c>
      <c r="G2527" t="s">
        <v>9776</v>
      </c>
      <c r="H2527" t="s">
        <v>64</v>
      </c>
      <c r="L2527" t="s">
        <v>20</v>
      </c>
      <c r="M2527" t="s">
        <v>9777</v>
      </c>
    </row>
    <row r="2528" spans="1:13" x14ac:dyDescent="0.25">
      <c r="A2528">
        <v>6799160</v>
      </c>
      <c r="B2528" t="s">
        <v>9778</v>
      </c>
      <c r="C2528" t="str">
        <f>"9781800641952"</f>
        <v>9781800641952</v>
      </c>
      <c r="D2528" t="str">
        <f>"9781800641969"</f>
        <v>9781800641969</v>
      </c>
      <c r="E2528" t="s">
        <v>2270</v>
      </c>
      <c r="F2528" s="1">
        <v>44447</v>
      </c>
      <c r="G2528" t="s">
        <v>9779</v>
      </c>
      <c r="H2528" t="s">
        <v>9780</v>
      </c>
      <c r="L2528" t="s">
        <v>20</v>
      </c>
      <c r="M2528" t="s">
        <v>9781</v>
      </c>
    </row>
    <row r="2529" spans="1:13" x14ac:dyDescent="0.25">
      <c r="A2529">
        <v>6799161</v>
      </c>
      <c r="B2529" t="s">
        <v>9782</v>
      </c>
      <c r="C2529" t="str">
        <f>"9781800642195"</f>
        <v>9781800642195</v>
      </c>
      <c r="D2529" t="str">
        <f>"9781800642201"</f>
        <v>9781800642201</v>
      </c>
      <c r="E2529" t="s">
        <v>2270</v>
      </c>
      <c r="F2529" s="1">
        <v>44502</v>
      </c>
      <c r="G2529" t="s">
        <v>9783</v>
      </c>
      <c r="H2529" t="s">
        <v>925</v>
      </c>
      <c r="L2529" t="s">
        <v>20</v>
      </c>
      <c r="M2529" t="s">
        <v>9784</v>
      </c>
    </row>
    <row r="2530" spans="1:13" x14ac:dyDescent="0.25">
      <c r="A2530">
        <v>6799468</v>
      </c>
      <c r="B2530" t="s">
        <v>9785</v>
      </c>
      <c r="C2530" t="str">
        <f>"9783662636343"</f>
        <v>9783662636343</v>
      </c>
      <c r="D2530" t="str">
        <f>"9783662636350"</f>
        <v>9783662636350</v>
      </c>
      <c r="E2530" t="s">
        <v>4540</v>
      </c>
      <c r="F2530" s="1">
        <v>44506</v>
      </c>
      <c r="G2530" t="s">
        <v>5228</v>
      </c>
      <c r="H2530" t="s">
        <v>239</v>
      </c>
      <c r="I2530" t="s">
        <v>4524</v>
      </c>
      <c r="L2530" t="s">
        <v>291</v>
      </c>
      <c r="M2530" t="s">
        <v>9786</v>
      </c>
    </row>
    <row r="2531" spans="1:13" x14ac:dyDescent="0.25">
      <c r="A2531">
        <v>6803040</v>
      </c>
      <c r="B2531" t="s">
        <v>9787</v>
      </c>
      <c r="C2531" t="str">
        <f>"9789811652097"</f>
        <v>9789811652097</v>
      </c>
      <c r="D2531" t="str">
        <f>"9789811652103"</f>
        <v>9789811652103</v>
      </c>
      <c r="E2531" t="s">
        <v>4099</v>
      </c>
      <c r="F2531" s="1">
        <v>44511</v>
      </c>
      <c r="G2531" t="s">
        <v>9788</v>
      </c>
      <c r="H2531" t="s">
        <v>1753</v>
      </c>
      <c r="I2531" t="s">
        <v>6185</v>
      </c>
      <c r="L2531" t="s">
        <v>20</v>
      </c>
      <c r="M2531" t="s">
        <v>9789</v>
      </c>
    </row>
    <row r="2532" spans="1:13" x14ac:dyDescent="0.25">
      <c r="A2532">
        <v>6803041</v>
      </c>
      <c r="B2532" t="s">
        <v>9790</v>
      </c>
      <c r="C2532" t="str">
        <f>"9783030774509"</f>
        <v>9783030774509</v>
      </c>
      <c r="D2532" t="str">
        <f>"9783030774516"</f>
        <v>9783030774516</v>
      </c>
      <c r="E2532" t="s">
        <v>2905</v>
      </c>
      <c r="F2532" s="1">
        <v>44512</v>
      </c>
      <c r="G2532" t="s">
        <v>9791</v>
      </c>
      <c r="H2532" t="s">
        <v>239</v>
      </c>
      <c r="I2532" t="s">
        <v>6804</v>
      </c>
      <c r="L2532" t="s">
        <v>20</v>
      </c>
      <c r="M2532" t="s">
        <v>9792</v>
      </c>
    </row>
    <row r="2533" spans="1:13" x14ac:dyDescent="0.25">
      <c r="A2533">
        <v>6803042</v>
      </c>
      <c r="B2533" t="s">
        <v>9793</v>
      </c>
      <c r="C2533" t="str">
        <f>"9783030858018"</f>
        <v>9783030858018</v>
      </c>
      <c r="D2533" t="str">
        <f>"9783030858025"</f>
        <v>9783030858025</v>
      </c>
      <c r="E2533" t="s">
        <v>2905</v>
      </c>
      <c r="F2533" s="1">
        <v>44511</v>
      </c>
      <c r="G2533" t="s">
        <v>9794</v>
      </c>
      <c r="H2533" t="s">
        <v>363</v>
      </c>
      <c r="I2533" t="s">
        <v>4235</v>
      </c>
      <c r="L2533" t="s">
        <v>20</v>
      </c>
      <c r="M2533" t="s">
        <v>9795</v>
      </c>
    </row>
    <row r="2534" spans="1:13" x14ac:dyDescent="0.25">
      <c r="A2534">
        <v>6803856</v>
      </c>
      <c r="B2534" t="s">
        <v>9796</v>
      </c>
      <c r="C2534" t="str">
        <f>"9783030786816"</f>
        <v>9783030786816</v>
      </c>
      <c r="D2534" t="str">
        <f>"9783030786823"</f>
        <v>9783030786823</v>
      </c>
      <c r="E2534" t="s">
        <v>2905</v>
      </c>
      <c r="F2534" s="1">
        <v>44513</v>
      </c>
      <c r="G2534" t="s">
        <v>9797</v>
      </c>
      <c r="H2534" t="s">
        <v>1753</v>
      </c>
      <c r="I2534" t="s">
        <v>8375</v>
      </c>
      <c r="L2534" t="s">
        <v>20</v>
      </c>
      <c r="M2534" t="s">
        <v>9798</v>
      </c>
    </row>
    <row r="2535" spans="1:13" x14ac:dyDescent="0.25">
      <c r="A2535">
        <v>6803857</v>
      </c>
      <c r="B2535" t="s">
        <v>9799</v>
      </c>
      <c r="C2535" t="str">
        <f>"9783030857950"</f>
        <v>9783030857950</v>
      </c>
      <c r="D2535" t="str">
        <f>"9783030857967"</f>
        <v>9783030857967</v>
      </c>
      <c r="E2535" t="s">
        <v>2905</v>
      </c>
      <c r="F2535" s="1">
        <v>44513</v>
      </c>
      <c r="G2535" t="s">
        <v>9800</v>
      </c>
      <c r="H2535" t="s">
        <v>83</v>
      </c>
      <c r="I2535" t="s">
        <v>8873</v>
      </c>
      <c r="J2535">
        <v>363.73874000000001</v>
      </c>
      <c r="L2535" t="s">
        <v>20</v>
      </c>
      <c r="M2535" t="s">
        <v>9801</v>
      </c>
    </row>
    <row r="2536" spans="1:13" x14ac:dyDescent="0.25">
      <c r="A2536">
        <v>6803858</v>
      </c>
      <c r="B2536" t="s">
        <v>9802</v>
      </c>
      <c r="C2536" t="str">
        <f>"9789811668302"</f>
        <v>9789811668302</v>
      </c>
      <c r="D2536" t="str">
        <f>"9789811668319"</f>
        <v>9789811668319</v>
      </c>
      <c r="E2536" t="s">
        <v>4099</v>
      </c>
      <c r="F2536" s="1">
        <v>44513</v>
      </c>
      <c r="G2536" t="s">
        <v>9803</v>
      </c>
      <c r="H2536" t="s">
        <v>1753</v>
      </c>
      <c r="I2536" t="s">
        <v>5485</v>
      </c>
      <c r="L2536" t="s">
        <v>20</v>
      </c>
      <c r="M2536" t="s">
        <v>9804</v>
      </c>
    </row>
    <row r="2537" spans="1:13" x14ac:dyDescent="0.25">
      <c r="A2537">
        <v>6803859</v>
      </c>
      <c r="B2537" t="s">
        <v>9805</v>
      </c>
      <c r="C2537" t="str">
        <f>"9789811658426"</f>
        <v>9789811658426</v>
      </c>
      <c r="D2537" t="str">
        <f>"9789811658433"</f>
        <v>9789811658433</v>
      </c>
      <c r="E2537" t="s">
        <v>4099</v>
      </c>
      <c r="F2537" s="1">
        <v>44513</v>
      </c>
      <c r="G2537" t="s">
        <v>9806</v>
      </c>
      <c r="H2537" t="s">
        <v>3355</v>
      </c>
      <c r="I2537" t="s">
        <v>5367</v>
      </c>
      <c r="L2537" t="s">
        <v>20</v>
      </c>
      <c r="M2537" t="s">
        <v>9807</v>
      </c>
    </row>
    <row r="2538" spans="1:13" x14ac:dyDescent="0.25">
      <c r="A2538">
        <v>6804588</v>
      </c>
      <c r="B2538" t="s">
        <v>9808</v>
      </c>
      <c r="C2538" t="str">
        <f>"9780892641246"</f>
        <v>9780892641246</v>
      </c>
      <c r="D2538" t="str">
        <f>"9780472901852"</f>
        <v>9780472901852</v>
      </c>
      <c r="E2538" t="s">
        <v>7091</v>
      </c>
      <c r="F2538" s="1">
        <v>25233</v>
      </c>
      <c r="G2538" t="s">
        <v>9809</v>
      </c>
      <c r="H2538" t="s">
        <v>2293</v>
      </c>
      <c r="I2538" t="s">
        <v>9810</v>
      </c>
      <c r="L2538" t="s">
        <v>20</v>
      </c>
      <c r="M2538" t="s">
        <v>9811</v>
      </c>
    </row>
    <row r="2539" spans="1:13" x14ac:dyDescent="0.25">
      <c r="A2539">
        <v>6804703</v>
      </c>
      <c r="B2539" t="s">
        <v>9812</v>
      </c>
      <c r="C2539" t="str">
        <f>"9789027209900"</f>
        <v>9789027209900</v>
      </c>
      <c r="D2539" t="str">
        <f>"9789027258489"</f>
        <v>9789027258489</v>
      </c>
      <c r="E2539" t="s">
        <v>1728</v>
      </c>
      <c r="F2539" s="1">
        <v>44526</v>
      </c>
      <c r="G2539" t="s">
        <v>9813</v>
      </c>
      <c r="H2539" t="s">
        <v>851</v>
      </c>
      <c r="I2539" t="s">
        <v>9814</v>
      </c>
      <c r="L2539" t="s">
        <v>20</v>
      </c>
      <c r="M2539" t="s">
        <v>9815</v>
      </c>
    </row>
    <row r="2540" spans="1:13" x14ac:dyDescent="0.25">
      <c r="A2540">
        <v>6805380</v>
      </c>
      <c r="B2540" t="s">
        <v>9816</v>
      </c>
      <c r="C2540" t="str">
        <f>"9789811662522"</f>
        <v>9789811662522</v>
      </c>
      <c r="D2540" t="str">
        <f>"9789811662539"</f>
        <v>9789811662539</v>
      </c>
      <c r="E2540" t="s">
        <v>4099</v>
      </c>
      <c r="F2540" s="1">
        <v>44516</v>
      </c>
      <c r="G2540" t="s">
        <v>9817</v>
      </c>
      <c r="H2540" t="s">
        <v>5453</v>
      </c>
      <c r="I2540" t="s">
        <v>4239</v>
      </c>
      <c r="J2540">
        <v>621.30999999999995</v>
      </c>
      <c r="L2540" t="s">
        <v>20</v>
      </c>
      <c r="M2540" t="s">
        <v>9818</v>
      </c>
    </row>
    <row r="2541" spans="1:13" x14ac:dyDescent="0.25">
      <c r="A2541">
        <v>6805754</v>
      </c>
      <c r="B2541" t="s">
        <v>9819</v>
      </c>
      <c r="C2541" t="str">
        <f>"9783030737146"</f>
        <v>9783030737146</v>
      </c>
      <c r="D2541" t="str">
        <f>"9783030737153"</f>
        <v>9783030737153</v>
      </c>
      <c r="E2541" t="s">
        <v>2905</v>
      </c>
      <c r="F2541" s="1">
        <v>44516</v>
      </c>
      <c r="G2541" t="s">
        <v>9820</v>
      </c>
      <c r="H2541" t="s">
        <v>4915</v>
      </c>
      <c r="I2541" t="s">
        <v>7395</v>
      </c>
      <c r="L2541" t="s">
        <v>20</v>
      </c>
      <c r="M2541" t="s">
        <v>9821</v>
      </c>
    </row>
    <row r="2542" spans="1:13" x14ac:dyDescent="0.25">
      <c r="A2542">
        <v>6808492</v>
      </c>
      <c r="B2542" t="s">
        <v>9822</v>
      </c>
      <c r="C2542" t="str">
        <f>"9789027210135"</f>
        <v>9789027210135</v>
      </c>
      <c r="D2542" t="str">
        <f>"9789027258281"</f>
        <v>9789027258281</v>
      </c>
      <c r="E2542" t="s">
        <v>1728</v>
      </c>
      <c r="F2542" s="1">
        <v>44546</v>
      </c>
      <c r="G2542" t="s">
        <v>9823</v>
      </c>
      <c r="H2542" t="s">
        <v>1251</v>
      </c>
      <c r="I2542" t="s">
        <v>9824</v>
      </c>
      <c r="J2542">
        <v>306.44091731999998</v>
      </c>
      <c r="L2542" t="s">
        <v>20</v>
      </c>
      <c r="M2542" t="s">
        <v>9825</v>
      </c>
    </row>
    <row r="2543" spans="1:13" x14ac:dyDescent="0.25">
      <c r="A2543">
        <v>6808949</v>
      </c>
      <c r="B2543" t="s">
        <v>9826</v>
      </c>
      <c r="C2543" t="str">
        <f>"9789463726047"</f>
        <v>9789463726047</v>
      </c>
      <c r="D2543" t="str">
        <f>"9789048552801"</f>
        <v>9789048552801</v>
      </c>
      <c r="E2543" t="s">
        <v>4128</v>
      </c>
      <c r="F2543" s="1">
        <v>44545</v>
      </c>
      <c r="G2543" t="s">
        <v>9827</v>
      </c>
      <c r="H2543" t="s">
        <v>2368</v>
      </c>
      <c r="J2543">
        <v>330.07100000000003</v>
      </c>
      <c r="L2543" t="s">
        <v>20</v>
      </c>
      <c r="M2543" t="s">
        <v>9828</v>
      </c>
    </row>
    <row r="2544" spans="1:13" x14ac:dyDescent="0.25">
      <c r="A2544">
        <v>6808955</v>
      </c>
      <c r="B2544" t="s">
        <v>9829</v>
      </c>
      <c r="C2544" t="str">
        <f>"9781789247541"</f>
        <v>9781789247541</v>
      </c>
      <c r="D2544" t="str">
        <f>"9781789247565"</f>
        <v>9781789247565</v>
      </c>
      <c r="E2544" t="s">
        <v>4836</v>
      </c>
      <c r="F2544" s="1">
        <v>44540</v>
      </c>
      <c r="G2544" t="s">
        <v>9830</v>
      </c>
      <c r="H2544" t="s">
        <v>2534</v>
      </c>
      <c r="L2544" t="s">
        <v>20</v>
      </c>
      <c r="M2544" t="s">
        <v>9831</v>
      </c>
    </row>
    <row r="2545" spans="1:13" x14ac:dyDescent="0.25">
      <c r="A2545">
        <v>6810668</v>
      </c>
      <c r="B2545" t="s">
        <v>9832</v>
      </c>
      <c r="C2545" t="str">
        <f>""</f>
        <v/>
      </c>
      <c r="D2545" t="str">
        <f>"9782759233533"</f>
        <v>9782759233533</v>
      </c>
      <c r="E2545" t="s">
        <v>2434</v>
      </c>
      <c r="F2545" s="1">
        <v>44518</v>
      </c>
      <c r="G2545" t="s">
        <v>9833</v>
      </c>
      <c r="H2545" t="s">
        <v>64</v>
      </c>
      <c r="L2545" t="s">
        <v>1279</v>
      </c>
      <c r="M2545" t="s">
        <v>9834</v>
      </c>
    </row>
    <row r="2546" spans="1:13" x14ac:dyDescent="0.25">
      <c r="A2546">
        <v>6811598</v>
      </c>
      <c r="B2546" t="s">
        <v>9835</v>
      </c>
      <c r="C2546" t="str">
        <f>"9783030820718"</f>
        <v>9783030820718</v>
      </c>
      <c r="D2546" t="str">
        <f>"9783030820725"</f>
        <v>9783030820725</v>
      </c>
      <c r="E2546" t="s">
        <v>2905</v>
      </c>
      <c r="F2546" s="1">
        <v>44517</v>
      </c>
      <c r="G2546" t="s">
        <v>9836</v>
      </c>
      <c r="H2546" t="s">
        <v>6333</v>
      </c>
      <c r="I2546" t="s">
        <v>5108</v>
      </c>
      <c r="J2546">
        <v>658.40120000000002</v>
      </c>
      <c r="L2546" t="s">
        <v>20</v>
      </c>
      <c r="M2546" t="s">
        <v>9837</v>
      </c>
    </row>
    <row r="2547" spans="1:13" x14ac:dyDescent="0.25">
      <c r="A2547">
        <v>6811599</v>
      </c>
      <c r="B2547" t="s">
        <v>9838</v>
      </c>
      <c r="C2547" t="str">
        <f>"9789811665059"</f>
        <v>9789811665059</v>
      </c>
      <c r="D2547" t="str">
        <f>"9789811665066"</f>
        <v>9789811665066</v>
      </c>
      <c r="E2547" t="s">
        <v>4099</v>
      </c>
      <c r="F2547" s="1">
        <v>44517</v>
      </c>
      <c r="G2547" t="s">
        <v>9839</v>
      </c>
      <c r="H2547" t="s">
        <v>363</v>
      </c>
      <c r="I2547" t="s">
        <v>4529</v>
      </c>
      <c r="L2547" t="s">
        <v>20</v>
      </c>
      <c r="M2547" t="s">
        <v>9840</v>
      </c>
    </row>
    <row r="2548" spans="1:13" x14ac:dyDescent="0.25">
      <c r="A2548">
        <v>6811600</v>
      </c>
      <c r="B2548" t="s">
        <v>9841</v>
      </c>
      <c r="C2548" t="str">
        <f>"9783030745431"</f>
        <v>9783030745431</v>
      </c>
      <c r="D2548" t="str">
        <f>"9783030745448"</f>
        <v>9783030745448</v>
      </c>
      <c r="E2548" t="s">
        <v>2905</v>
      </c>
      <c r="F2548" s="1">
        <v>44517</v>
      </c>
      <c r="G2548" t="s">
        <v>9842</v>
      </c>
      <c r="H2548" t="s">
        <v>5236</v>
      </c>
      <c r="I2548" t="s">
        <v>6723</v>
      </c>
      <c r="L2548" t="s">
        <v>20</v>
      </c>
      <c r="M2548" t="s">
        <v>9843</v>
      </c>
    </row>
    <row r="2549" spans="1:13" x14ac:dyDescent="0.25">
      <c r="A2549">
        <v>6811601</v>
      </c>
      <c r="B2549" t="s">
        <v>9844</v>
      </c>
      <c r="C2549" t="str">
        <f>"9783658359256"</f>
        <v>9783658359256</v>
      </c>
      <c r="D2549" t="str">
        <f>"9783658359263"</f>
        <v>9783658359263</v>
      </c>
      <c r="E2549" t="s">
        <v>4472</v>
      </c>
      <c r="F2549" s="1">
        <v>44517</v>
      </c>
      <c r="G2549" t="s">
        <v>9845</v>
      </c>
      <c r="H2549" t="s">
        <v>2623</v>
      </c>
      <c r="I2549" t="s">
        <v>9846</v>
      </c>
      <c r="L2549" t="s">
        <v>20</v>
      </c>
      <c r="M2549" t="s">
        <v>9847</v>
      </c>
    </row>
    <row r="2550" spans="1:13" x14ac:dyDescent="0.25">
      <c r="A2550">
        <v>6811602</v>
      </c>
      <c r="B2550" t="s">
        <v>9848</v>
      </c>
      <c r="C2550" t="str">
        <f>"9783658353162"</f>
        <v>9783658353162</v>
      </c>
      <c r="D2550" t="str">
        <f>"9783658353179"</f>
        <v>9783658353179</v>
      </c>
      <c r="E2550" t="s">
        <v>4472</v>
      </c>
      <c r="F2550" s="1">
        <v>44518</v>
      </c>
      <c r="G2550" t="s">
        <v>9849</v>
      </c>
      <c r="H2550" t="s">
        <v>64</v>
      </c>
      <c r="I2550" t="s">
        <v>5264</v>
      </c>
      <c r="L2550" t="s">
        <v>291</v>
      </c>
      <c r="M2550" t="s">
        <v>9850</v>
      </c>
    </row>
    <row r="2551" spans="1:13" x14ac:dyDescent="0.25">
      <c r="A2551">
        <v>6811603</v>
      </c>
      <c r="B2551" t="s">
        <v>9851</v>
      </c>
      <c r="C2551" t="str">
        <f>"9783030845698"</f>
        <v>9783030845698</v>
      </c>
      <c r="D2551" t="str">
        <f>"9783030845704"</f>
        <v>9783030845704</v>
      </c>
      <c r="E2551" t="s">
        <v>2905</v>
      </c>
      <c r="F2551" s="1">
        <v>44519</v>
      </c>
      <c r="G2551" t="s">
        <v>9852</v>
      </c>
      <c r="H2551" t="s">
        <v>4180</v>
      </c>
      <c r="I2551" t="s">
        <v>4766</v>
      </c>
      <c r="L2551" t="s">
        <v>20</v>
      </c>
      <c r="M2551" t="s">
        <v>9853</v>
      </c>
    </row>
    <row r="2552" spans="1:13" x14ac:dyDescent="0.25">
      <c r="A2552">
        <v>6811604</v>
      </c>
      <c r="B2552" t="s">
        <v>9854</v>
      </c>
      <c r="C2552" t="str">
        <f>"9783030856670"</f>
        <v>9783030856670</v>
      </c>
      <c r="D2552" t="str">
        <f>"9783030856687"</f>
        <v>9783030856687</v>
      </c>
      <c r="E2552" t="s">
        <v>2905</v>
      </c>
      <c r="F2552" s="1">
        <v>44519</v>
      </c>
      <c r="G2552" t="s">
        <v>9855</v>
      </c>
      <c r="H2552" t="s">
        <v>363</v>
      </c>
      <c r="I2552" t="s">
        <v>4529</v>
      </c>
      <c r="L2552" t="s">
        <v>20</v>
      </c>
      <c r="M2552" t="s">
        <v>9856</v>
      </c>
    </row>
    <row r="2553" spans="1:13" x14ac:dyDescent="0.25">
      <c r="A2553">
        <v>6811605</v>
      </c>
      <c r="B2553" t="s">
        <v>9857</v>
      </c>
      <c r="C2553" t="str">
        <f>"9783030861438"</f>
        <v>9783030861438</v>
      </c>
      <c r="D2553" t="str">
        <f>"9783030861445"</f>
        <v>9783030861445</v>
      </c>
      <c r="E2553" t="s">
        <v>2905</v>
      </c>
      <c r="F2553" s="1">
        <v>44524</v>
      </c>
      <c r="G2553" t="s">
        <v>9858</v>
      </c>
      <c r="H2553" t="s">
        <v>712</v>
      </c>
      <c r="I2553" t="s">
        <v>9859</v>
      </c>
      <c r="L2553" t="s">
        <v>20</v>
      </c>
      <c r="M2553" t="s">
        <v>9860</v>
      </c>
    </row>
    <row r="2554" spans="1:13" x14ac:dyDescent="0.25">
      <c r="A2554">
        <v>6811606</v>
      </c>
      <c r="B2554" t="s">
        <v>9861</v>
      </c>
      <c r="C2554" t="str">
        <f>"9789811662379"</f>
        <v>9789811662379</v>
      </c>
      <c r="D2554" t="str">
        <f>"9789811662386"</f>
        <v>9789811662386</v>
      </c>
      <c r="E2554" t="s">
        <v>4099</v>
      </c>
      <c r="F2554" s="1">
        <v>44524</v>
      </c>
      <c r="G2554" t="s">
        <v>9862</v>
      </c>
      <c r="H2554" t="s">
        <v>5813</v>
      </c>
      <c r="I2554" t="s">
        <v>6723</v>
      </c>
      <c r="J2554">
        <v>307.34059999999999</v>
      </c>
      <c r="L2554" t="s">
        <v>20</v>
      </c>
      <c r="M2554" t="s">
        <v>9863</v>
      </c>
    </row>
    <row r="2555" spans="1:13" x14ac:dyDescent="0.25">
      <c r="A2555">
        <v>6811607</v>
      </c>
      <c r="B2555" t="s">
        <v>9864</v>
      </c>
      <c r="C2555" t="str">
        <f>"9783030852139"</f>
        <v>9783030852139</v>
      </c>
      <c r="D2555" t="str">
        <f>"9783030852146"</f>
        <v>9783030852146</v>
      </c>
      <c r="E2555" t="s">
        <v>2905</v>
      </c>
      <c r="F2555" s="1">
        <v>44524</v>
      </c>
      <c r="G2555" t="s">
        <v>9865</v>
      </c>
      <c r="H2555" t="s">
        <v>64</v>
      </c>
      <c r="I2555" t="s">
        <v>9866</v>
      </c>
      <c r="L2555" t="s">
        <v>20</v>
      </c>
      <c r="M2555" t="s">
        <v>9867</v>
      </c>
    </row>
    <row r="2556" spans="1:13" x14ac:dyDescent="0.25">
      <c r="A2556">
        <v>6811608</v>
      </c>
      <c r="B2556" t="s">
        <v>9868</v>
      </c>
      <c r="C2556" t="str">
        <f>"9783030812256"</f>
        <v>9783030812256</v>
      </c>
      <c r="D2556" t="str">
        <f>"9783030812263"</f>
        <v>9783030812263</v>
      </c>
      <c r="E2556" t="s">
        <v>2905</v>
      </c>
      <c r="F2556" s="1">
        <v>44524</v>
      </c>
      <c r="G2556" t="s">
        <v>9869</v>
      </c>
      <c r="H2556" t="s">
        <v>9870</v>
      </c>
      <c r="I2556" t="s">
        <v>6917</v>
      </c>
      <c r="J2556">
        <v>5.7565</v>
      </c>
      <c r="L2556" t="s">
        <v>20</v>
      </c>
      <c r="M2556" t="s">
        <v>9871</v>
      </c>
    </row>
    <row r="2557" spans="1:13" x14ac:dyDescent="0.25">
      <c r="A2557">
        <v>6812058</v>
      </c>
      <c r="B2557" t="s">
        <v>9872</v>
      </c>
      <c r="C2557" t="str">
        <f>"9781789247664"</f>
        <v>9781789247664</v>
      </c>
      <c r="D2557" t="str">
        <f>"9781789247688"</f>
        <v>9781789247688</v>
      </c>
      <c r="E2557" t="s">
        <v>4836</v>
      </c>
      <c r="F2557" s="1">
        <v>44560</v>
      </c>
      <c r="G2557" t="s">
        <v>9873</v>
      </c>
      <c r="H2557" t="s">
        <v>2368</v>
      </c>
      <c r="J2557">
        <v>333.3</v>
      </c>
      <c r="L2557" t="s">
        <v>20</v>
      </c>
      <c r="M2557" t="s">
        <v>9874</v>
      </c>
    </row>
    <row r="2558" spans="1:13" x14ac:dyDescent="0.25">
      <c r="A2558">
        <v>6812599</v>
      </c>
      <c r="B2558" t="s">
        <v>9875</v>
      </c>
      <c r="C2558" t="str">
        <f>"9783030834029"</f>
        <v>9783030834029</v>
      </c>
      <c r="D2558" t="str">
        <f>"9783030834036"</f>
        <v>9783030834036</v>
      </c>
      <c r="E2558" t="s">
        <v>2905</v>
      </c>
      <c r="F2558" s="1">
        <v>44525</v>
      </c>
      <c r="G2558" t="s">
        <v>9876</v>
      </c>
      <c r="H2558" t="s">
        <v>64</v>
      </c>
      <c r="I2558" t="s">
        <v>8735</v>
      </c>
      <c r="L2558" t="s">
        <v>20</v>
      </c>
      <c r="M2558" t="s">
        <v>9877</v>
      </c>
    </row>
    <row r="2559" spans="1:13" x14ac:dyDescent="0.25">
      <c r="A2559">
        <v>6812600</v>
      </c>
      <c r="B2559" t="s">
        <v>9878</v>
      </c>
      <c r="C2559" t="str">
        <f>"9783030807665"</f>
        <v>9783030807665</v>
      </c>
      <c r="D2559" t="str">
        <f>"9783030807672"</f>
        <v>9783030807672</v>
      </c>
      <c r="E2559" t="s">
        <v>2905</v>
      </c>
      <c r="F2559" s="1">
        <v>44525</v>
      </c>
      <c r="G2559" t="s">
        <v>9879</v>
      </c>
      <c r="H2559" t="s">
        <v>1283</v>
      </c>
      <c r="I2559" t="s">
        <v>8336</v>
      </c>
      <c r="L2559" t="s">
        <v>20</v>
      </c>
      <c r="M2559" t="s">
        <v>9880</v>
      </c>
    </row>
    <row r="2560" spans="1:13" x14ac:dyDescent="0.25">
      <c r="A2560">
        <v>6812601</v>
      </c>
      <c r="B2560" t="s">
        <v>9881</v>
      </c>
      <c r="C2560" t="str">
        <f>"9783030807863"</f>
        <v>9783030807863</v>
      </c>
      <c r="D2560" t="str">
        <f>"9783030807870"</f>
        <v>9783030807870</v>
      </c>
      <c r="E2560" t="s">
        <v>2905</v>
      </c>
      <c r="F2560" s="1">
        <v>44527</v>
      </c>
      <c r="G2560" t="s">
        <v>9882</v>
      </c>
      <c r="H2560" t="s">
        <v>239</v>
      </c>
      <c r="I2560" t="s">
        <v>5362</v>
      </c>
      <c r="L2560" t="s">
        <v>20</v>
      </c>
      <c r="M2560" t="s">
        <v>9883</v>
      </c>
    </row>
    <row r="2561" spans="1:13" x14ac:dyDescent="0.25">
      <c r="A2561">
        <v>6816744</v>
      </c>
      <c r="B2561" t="s">
        <v>9884</v>
      </c>
      <c r="C2561" t="str">
        <f>"9789811663154"</f>
        <v>9789811663154</v>
      </c>
      <c r="D2561" t="str">
        <f>"9789811663161"</f>
        <v>9789811663161</v>
      </c>
      <c r="E2561" t="s">
        <v>4099</v>
      </c>
      <c r="F2561" s="1">
        <v>44527</v>
      </c>
      <c r="G2561" t="s">
        <v>9885</v>
      </c>
      <c r="H2561" t="s">
        <v>2597</v>
      </c>
      <c r="I2561" t="s">
        <v>9886</v>
      </c>
      <c r="L2561" t="s">
        <v>20</v>
      </c>
      <c r="M2561" t="s">
        <v>9887</v>
      </c>
    </row>
    <row r="2562" spans="1:13" x14ac:dyDescent="0.25">
      <c r="A2562">
        <v>6816745</v>
      </c>
      <c r="B2562" t="s">
        <v>9888</v>
      </c>
      <c r="C2562" t="str">
        <f>"9783662634486"</f>
        <v>9783662634486</v>
      </c>
      <c r="D2562" t="str">
        <f>"9783662634493"</f>
        <v>9783662634493</v>
      </c>
      <c r="E2562" t="s">
        <v>4540</v>
      </c>
      <c r="F2562" s="1">
        <v>44527</v>
      </c>
      <c r="G2562" t="s">
        <v>9889</v>
      </c>
      <c r="H2562" t="s">
        <v>4180</v>
      </c>
      <c r="I2562" t="s">
        <v>4790</v>
      </c>
      <c r="L2562" t="s">
        <v>291</v>
      </c>
      <c r="M2562" t="s">
        <v>9890</v>
      </c>
    </row>
    <row r="2563" spans="1:13" x14ac:dyDescent="0.25">
      <c r="A2563">
        <v>6816746</v>
      </c>
      <c r="B2563" t="s">
        <v>9891</v>
      </c>
      <c r="C2563" t="str">
        <f>"9783030847166"</f>
        <v>9783030847166</v>
      </c>
      <c r="D2563" t="str">
        <f>"9783030847173"</f>
        <v>9783030847173</v>
      </c>
      <c r="E2563" t="s">
        <v>2905</v>
      </c>
      <c r="F2563" s="1">
        <v>44527</v>
      </c>
      <c r="G2563" t="s">
        <v>9892</v>
      </c>
      <c r="H2563" t="s">
        <v>70</v>
      </c>
      <c r="I2563" t="s">
        <v>9893</v>
      </c>
      <c r="J2563">
        <v>823.80935609999995</v>
      </c>
      <c r="L2563" t="s">
        <v>20</v>
      </c>
      <c r="M2563" t="s">
        <v>9894</v>
      </c>
    </row>
    <row r="2564" spans="1:13" x14ac:dyDescent="0.25">
      <c r="A2564">
        <v>6819342</v>
      </c>
      <c r="B2564" t="s">
        <v>9895</v>
      </c>
      <c r="C2564" t="str">
        <f>"9783030868109"</f>
        <v>9783030868109</v>
      </c>
      <c r="D2564" t="str">
        <f>"9783030868116"</f>
        <v>9783030868116</v>
      </c>
      <c r="E2564" t="s">
        <v>2905</v>
      </c>
      <c r="F2564" s="1">
        <v>44530</v>
      </c>
      <c r="G2564" t="s">
        <v>9896</v>
      </c>
      <c r="H2564" t="s">
        <v>266</v>
      </c>
      <c r="I2564" t="s">
        <v>5440</v>
      </c>
      <c r="L2564" t="s">
        <v>20</v>
      </c>
      <c r="M2564" t="s">
        <v>9897</v>
      </c>
    </row>
    <row r="2565" spans="1:13" x14ac:dyDescent="0.25">
      <c r="A2565">
        <v>6819668</v>
      </c>
      <c r="B2565" t="s">
        <v>9898</v>
      </c>
      <c r="C2565" t="str">
        <f>""</f>
        <v/>
      </c>
      <c r="D2565" t="str">
        <f>"9782759233489"</f>
        <v>9782759233489</v>
      </c>
      <c r="E2565" t="s">
        <v>2434</v>
      </c>
      <c r="F2565" s="1">
        <v>44532</v>
      </c>
      <c r="G2565" t="s">
        <v>9899</v>
      </c>
      <c r="H2565" t="s">
        <v>64</v>
      </c>
      <c r="L2565" t="s">
        <v>1279</v>
      </c>
      <c r="M2565" t="s">
        <v>9900</v>
      </c>
    </row>
    <row r="2566" spans="1:13" x14ac:dyDescent="0.25">
      <c r="A2566">
        <v>6819940</v>
      </c>
      <c r="B2566" t="s">
        <v>9901</v>
      </c>
      <c r="C2566" t="str">
        <f>"9780472071531"</f>
        <v>9780472071531</v>
      </c>
      <c r="D2566" t="str">
        <f>"9780472900305"</f>
        <v>9780472900305</v>
      </c>
      <c r="E2566" t="s">
        <v>6708</v>
      </c>
      <c r="F2566" s="1">
        <v>40750</v>
      </c>
      <c r="G2566" t="s">
        <v>9902</v>
      </c>
      <c r="H2566" t="s">
        <v>363</v>
      </c>
      <c r="I2566" t="s">
        <v>9903</v>
      </c>
      <c r="J2566" t="s">
        <v>9904</v>
      </c>
      <c r="L2566" t="s">
        <v>20</v>
      </c>
      <c r="M2566" t="s">
        <v>9905</v>
      </c>
    </row>
    <row r="2567" spans="1:13" x14ac:dyDescent="0.25">
      <c r="A2567">
        <v>6819941</v>
      </c>
      <c r="B2567" t="s">
        <v>9906</v>
      </c>
      <c r="C2567" t="str">
        <f>"9780472070343"</f>
        <v>9780472070343</v>
      </c>
      <c r="D2567" t="str">
        <f>"9780472900480"</f>
        <v>9780472900480</v>
      </c>
      <c r="E2567" t="s">
        <v>6708</v>
      </c>
      <c r="F2567" s="1">
        <v>39517</v>
      </c>
      <c r="G2567" t="s">
        <v>9907</v>
      </c>
      <c r="H2567" t="s">
        <v>70</v>
      </c>
      <c r="I2567" t="s">
        <v>9908</v>
      </c>
      <c r="L2567" t="s">
        <v>20</v>
      </c>
      <c r="M2567" t="s">
        <v>9909</v>
      </c>
    </row>
    <row r="2568" spans="1:13" x14ac:dyDescent="0.25">
      <c r="A2568">
        <v>6819942</v>
      </c>
      <c r="B2568" t="s">
        <v>9910</v>
      </c>
      <c r="C2568" t="str">
        <f>"9780472070602"</f>
        <v>9780472070602</v>
      </c>
      <c r="D2568" t="str">
        <f>"9780472900442"</f>
        <v>9780472900442</v>
      </c>
      <c r="E2568" t="s">
        <v>6708</v>
      </c>
      <c r="F2568" s="1">
        <v>39968</v>
      </c>
      <c r="G2568" t="s">
        <v>9911</v>
      </c>
      <c r="H2568" t="s">
        <v>239</v>
      </c>
      <c r="I2568" t="s">
        <v>9912</v>
      </c>
      <c r="J2568" t="s">
        <v>9913</v>
      </c>
      <c r="L2568" t="s">
        <v>20</v>
      </c>
      <c r="M2568" t="s">
        <v>9914</v>
      </c>
    </row>
    <row r="2569" spans="1:13" x14ac:dyDescent="0.25">
      <c r="A2569">
        <v>6819943</v>
      </c>
      <c r="B2569" t="s">
        <v>9915</v>
      </c>
      <c r="C2569" t="str">
        <f>"9780472070435"</f>
        <v>9780472070435</v>
      </c>
      <c r="D2569" t="str">
        <f>"9780472900510"</f>
        <v>9780472900510</v>
      </c>
      <c r="E2569" t="s">
        <v>6708</v>
      </c>
      <c r="F2569" s="1">
        <v>39591</v>
      </c>
      <c r="G2569" t="s">
        <v>9916</v>
      </c>
      <c r="H2569" t="s">
        <v>64</v>
      </c>
      <c r="I2569" t="s">
        <v>9917</v>
      </c>
      <c r="J2569" t="s">
        <v>9918</v>
      </c>
      <c r="L2569" t="s">
        <v>20</v>
      </c>
      <c r="M2569" t="s">
        <v>9919</v>
      </c>
    </row>
    <row r="2570" spans="1:13" x14ac:dyDescent="0.25">
      <c r="A2570">
        <v>6819945</v>
      </c>
      <c r="B2570" t="s">
        <v>9920</v>
      </c>
      <c r="C2570" t="str">
        <f>"9780472132126"</f>
        <v>9780472132126</v>
      </c>
      <c r="D2570" t="str">
        <f>"9780472902392"</f>
        <v>9780472902392</v>
      </c>
      <c r="E2570" t="s">
        <v>6708</v>
      </c>
      <c r="F2570" s="1">
        <v>44165</v>
      </c>
      <c r="G2570" t="s">
        <v>9921</v>
      </c>
      <c r="H2570" t="s">
        <v>41</v>
      </c>
      <c r="I2570" t="s">
        <v>9922</v>
      </c>
      <c r="J2570">
        <v>338.27309810000003</v>
      </c>
      <c r="L2570" t="s">
        <v>20</v>
      </c>
      <c r="M2570" t="s">
        <v>9923</v>
      </c>
    </row>
    <row r="2571" spans="1:13" x14ac:dyDescent="0.25">
      <c r="A2571">
        <v>6819946</v>
      </c>
      <c r="B2571" t="s">
        <v>9924</v>
      </c>
      <c r="C2571" t="str">
        <f>"9780472071982"</f>
        <v>9780472071982</v>
      </c>
      <c r="D2571" t="str">
        <f>"9780472029471"</f>
        <v>9780472029471</v>
      </c>
      <c r="E2571" t="s">
        <v>6708</v>
      </c>
      <c r="F2571" s="1">
        <v>41407</v>
      </c>
      <c r="G2571" t="s">
        <v>9925</v>
      </c>
      <c r="H2571" t="s">
        <v>2293</v>
      </c>
      <c r="I2571" t="s">
        <v>9926</v>
      </c>
      <c r="L2571" t="s">
        <v>20</v>
      </c>
      <c r="M2571" t="s">
        <v>9927</v>
      </c>
    </row>
    <row r="2572" spans="1:13" x14ac:dyDescent="0.25">
      <c r="A2572">
        <v>6819947</v>
      </c>
      <c r="B2572" t="s">
        <v>9928</v>
      </c>
      <c r="C2572" t="str">
        <f>"9780472073146"</f>
        <v>9780472073146</v>
      </c>
      <c r="D2572" t="str">
        <f>"9780472900589"</f>
        <v>9780472900589</v>
      </c>
      <c r="E2572" t="s">
        <v>6708</v>
      </c>
      <c r="F2572" s="1">
        <v>42534</v>
      </c>
      <c r="G2572" t="s">
        <v>9929</v>
      </c>
      <c r="H2572" t="s">
        <v>246</v>
      </c>
      <c r="I2572" t="s">
        <v>9930</v>
      </c>
      <c r="J2572" t="s">
        <v>9931</v>
      </c>
      <c r="L2572" t="s">
        <v>20</v>
      </c>
      <c r="M2572" t="s">
        <v>9932</v>
      </c>
    </row>
    <row r="2573" spans="1:13" x14ac:dyDescent="0.25">
      <c r="A2573">
        <v>6819948</v>
      </c>
      <c r="B2573" t="s">
        <v>9933</v>
      </c>
      <c r="C2573" t="str">
        <f>"9780472070329"</f>
        <v>9780472070329</v>
      </c>
      <c r="D2573" t="str">
        <f>"9780472900497"</f>
        <v>9780472900497</v>
      </c>
      <c r="E2573" t="s">
        <v>6708</v>
      </c>
      <c r="F2573" s="1">
        <v>39506</v>
      </c>
      <c r="G2573" t="s">
        <v>9934</v>
      </c>
      <c r="H2573" t="s">
        <v>3948</v>
      </c>
      <c r="I2573" t="s">
        <v>9935</v>
      </c>
      <c r="L2573" t="s">
        <v>20</v>
      </c>
      <c r="M2573" t="s">
        <v>9936</v>
      </c>
    </row>
    <row r="2574" spans="1:13" x14ac:dyDescent="0.25">
      <c r="A2574">
        <v>6819949</v>
      </c>
      <c r="B2574" t="s">
        <v>9937</v>
      </c>
      <c r="C2574" t="str">
        <f>"9780472071494"</f>
        <v>9780472071494</v>
      </c>
      <c r="D2574" t="str">
        <f>"9780472900329"</f>
        <v>9780472900329</v>
      </c>
      <c r="E2574" t="s">
        <v>6708</v>
      </c>
      <c r="F2574" s="1">
        <v>40689</v>
      </c>
      <c r="G2574" t="s">
        <v>9938</v>
      </c>
      <c r="H2574" t="s">
        <v>3948</v>
      </c>
      <c r="I2574" t="s">
        <v>7193</v>
      </c>
      <c r="J2574" t="s">
        <v>9939</v>
      </c>
      <c r="L2574" t="s">
        <v>20</v>
      </c>
      <c r="M2574" t="s">
        <v>9940</v>
      </c>
    </row>
    <row r="2575" spans="1:13" x14ac:dyDescent="0.25">
      <c r="A2575">
        <v>6819950</v>
      </c>
      <c r="B2575" t="s">
        <v>9941</v>
      </c>
      <c r="C2575" t="str">
        <f>"9780472119370"</f>
        <v>9780472119370</v>
      </c>
      <c r="D2575" t="str">
        <f>"9780472120482"</f>
        <v>9780472120482</v>
      </c>
      <c r="E2575" t="s">
        <v>6708</v>
      </c>
      <c r="F2575" s="1">
        <v>41708</v>
      </c>
      <c r="G2575" t="s">
        <v>9942</v>
      </c>
      <c r="H2575" t="s">
        <v>1229</v>
      </c>
      <c r="I2575" t="s">
        <v>7262</v>
      </c>
      <c r="J2575">
        <v>907.1</v>
      </c>
      <c r="L2575" t="s">
        <v>20</v>
      </c>
      <c r="M2575" t="s">
        <v>9943</v>
      </c>
    </row>
    <row r="2576" spans="1:13" x14ac:dyDescent="0.25">
      <c r="A2576">
        <v>6819951</v>
      </c>
      <c r="B2576" t="s">
        <v>9944</v>
      </c>
      <c r="C2576" t="str">
        <f>"9780472071098"</f>
        <v>9780472071098</v>
      </c>
      <c r="D2576" t="str">
        <f>"9780472900374"</f>
        <v>9780472900374</v>
      </c>
      <c r="E2576" t="s">
        <v>6708</v>
      </c>
      <c r="F2576" s="1">
        <v>40423</v>
      </c>
      <c r="G2576" t="s">
        <v>9945</v>
      </c>
      <c r="H2576" t="s">
        <v>64</v>
      </c>
      <c r="I2576" t="s">
        <v>9946</v>
      </c>
      <c r="J2576" t="s">
        <v>9947</v>
      </c>
      <c r="L2576" t="s">
        <v>20</v>
      </c>
      <c r="M2576" t="s">
        <v>9948</v>
      </c>
    </row>
    <row r="2577" spans="1:13" x14ac:dyDescent="0.25">
      <c r="A2577">
        <v>6819993</v>
      </c>
      <c r="B2577" t="s">
        <v>9949</v>
      </c>
      <c r="C2577" t="str">
        <f>"9783658361402"</f>
        <v>9783658361402</v>
      </c>
      <c r="D2577" t="str">
        <f>"9783658361419"</f>
        <v>9783658361419</v>
      </c>
      <c r="E2577" t="s">
        <v>4472</v>
      </c>
      <c r="F2577" s="1">
        <v>44532</v>
      </c>
      <c r="G2577" t="s">
        <v>9950</v>
      </c>
      <c r="H2577" t="s">
        <v>64</v>
      </c>
      <c r="I2577" t="s">
        <v>5120</v>
      </c>
      <c r="L2577" t="s">
        <v>291</v>
      </c>
      <c r="M2577" t="s">
        <v>9951</v>
      </c>
    </row>
    <row r="2578" spans="1:13" x14ac:dyDescent="0.25">
      <c r="A2578">
        <v>6819994</v>
      </c>
      <c r="B2578" t="s">
        <v>9952</v>
      </c>
      <c r="C2578" t="str">
        <f>"9789811657269"</f>
        <v>9789811657269</v>
      </c>
      <c r="D2578" t="str">
        <f>"9789811657276"</f>
        <v>9789811657276</v>
      </c>
      <c r="E2578" t="s">
        <v>4099</v>
      </c>
      <c r="F2578" s="1">
        <v>44532</v>
      </c>
      <c r="G2578" t="s">
        <v>9953</v>
      </c>
      <c r="H2578" t="s">
        <v>30</v>
      </c>
      <c r="I2578" t="s">
        <v>5108</v>
      </c>
      <c r="L2578" t="s">
        <v>20</v>
      </c>
      <c r="M2578" t="s">
        <v>9954</v>
      </c>
    </row>
    <row r="2579" spans="1:13" x14ac:dyDescent="0.25">
      <c r="A2579">
        <v>6819995</v>
      </c>
      <c r="B2579" t="s">
        <v>9955</v>
      </c>
      <c r="C2579" t="str">
        <f>"9789811625237"</f>
        <v>9789811625237</v>
      </c>
      <c r="D2579" t="str">
        <f>"9789811625244"</f>
        <v>9789811625244</v>
      </c>
      <c r="E2579" t="s">
        <v>4099</v>
      </c>
      <c r="F2579" s="1">
        <v>44532</v>
      </c>
      <c r="G2579" t="s">
        <v>9956</v>
      </c>
      <c r="H2579" t="s">
        <v>83</v>
      </c>
      <c r="I2579" t="s">
        <v>4537</v>
      </c>
      <c r="L2579" t="s">
        <v>20</v>
      </c>
      <c r="M2579" t="s">
        <v>9957</v>
      </c>
    </row>
    <row r="2580" spans="1:13" x14ac:dyDescent="0.25">
      <c r="A2580">
        <v>6819996</v>
      </c>
      <c r="B2580" t="s">
        <v>9958</v>
      </c>
      <c r="C2580" t="str">
        <f>"9783030853112"</f>
        <v>9783030853112</v>
      </c>
      <c r="D2580" t="str">
        <f>"9783030853129"</f>
        <v>9783030853129</v>
      </c>
      <c r="E2580" t="s">
        <v>2905</v>
      </c>
      <c r="F2580" s="1">
        <v>44531</v>
      </c>
      <c r="G2580" t="s">
        <v>9959</v>
      </c>
      <c r="H2580" t="s">
        <v>64</v>
      </c>
      <c r="I2580" t="s">
        <v>5305</v>
      </c>
      <c r="J2580">
        <v>305.4209439</v>
      </c>
      <c r="L2580" t="s">
        <v>20</v>
      </c>
      <c r="M2580" t="s">
        <v>9960</v>
      </c>
    </row>
    <row r="2581" spans="1:13" x14ac:dyDescent="0.25">
      <c r="A2581">
        <v>6823353</v>
      </c>
      <c r="B2581" t="s">
        <v>9961</v>
      </c>
      <c r="C2581" t="str">
        <f>"9789811250460"</f>
        <v>9789811250460</v>
      </c>
      <c r="D2581" t="str">
        <f>"9789811250477"</f>
        <v>9789811250477</v>
      </c>
      <c r="E2581" t="s">
        <v>4445</v>
      </c>
      <c r="F2581" s="1">
        <v>44529</v>
      </c>
      <c r="G2581" t="s">
        <v>4955</v>
      </c>
      <c r="H2581" t="s">
        <v>9962</v>
      </c>
      <c r="L2581" t="s">
        <v>20</v>
      </c>
      <c r="M2581" t="s">
        <v>9963</v>
      </c>
    </row>
    <row r="2582" spans="1:13" x14ac:dyDescent="0.25">
      <c r="A2582">
        <v>6823965</v>
      </c>
      <c r="B2582" t="s">
        <v>9964</v>
      </c>
      <c r="C2582" t="str">
        <f>""</f>
        <v/>
      </c>
      <c r="D2582" t="str">
        <f>"9782759233977"</f>
        <v>9782759233977</v>
      </c>
      <c r="E2582" t="s">
        <v>2434</v>
      </c>
      <c r="F2582" s="1">
        <v>44532</v>
      </c>
      <c r="G2582" t="s">
        <v>9965</v>
      </c>
      <c r="H2582" t="s">
        <v>9966</v>
      </c>
      <c r="L2582" t="s">
        <v>1279</v>
      </c>
      <c r="M2582" t="s">
        <v>9967</v>
      </c>
    </row>
    <row r="2583" spans="1:13" x14ac:dyDescent="0.25">
      <c r="A2583">
        <v>6824043</v>
      </c>
      <c r="B2583" t="s">
        <v>9968</v>
      </c>
      <c r="C2583" t="str">
        <f>""</f>
        <v/>
      </c>
      <c r="D2583" t="str">
        <f>"9782759232437"</f>
        <v>9782759232437</v>
      </c>
      <c r="E2583" t="s">
        <v>2434</v>
      </c>
      <c r="F2583" s="1">
        <v>44245</v>
      </c>
      <c r="G2583" t="s">
        <v>9969</v>
      </c>
      <c r="H2583" t="s">
        <v>489</v>
      </c>
      <c r="L2583" t="s">
        <v>1279</v>
      </c>
      <c r="M2583" t="s">
        <v>9970</v>
      </c>
    </row>
    <row r="2584" spans="1:13" x14ac:dyDescent="0.25">
      <c r="A2584">
        <v>6824245</v>
      </c>
      <c r="B2584" t="s">
        <v>9971</v>
      </c>
      <c r="C2584" t="str">
        <f>"9783030796211"</f>
        <v>9783030796211</v>
      </c>
      <c r="D2584" t="str">
        <f>"9783030796228"</f>
        <v>9783030796228</v>
      </c>
      <c r="E2584" t="s">
        <v>2905</v>
      </c>
      <c r="F2584" s="1">
        <v>44538</v>
      </c>
      <c r="G2584" t="s">
        <v>9972</v>
      </c>
      <c r="H2584" t="s">
        <v>9973</v>
      </c>
      <c r="I2584" t="s">
        <v>5147</v>
      </c>
      <c r="J2584">
        <v>507.1</v>
      </c>
      <c r="L2584" t="s">
        <v>20</v>
      </c>
      <c r="M2584" t="s">
        <v>9974</v>
      </c>
    </row>
    <row r="2585" spans="1:13" x14ac:dyDescent="0.25">
      <c r="A2585">
        <v>6824265</v>
      </c>
      <c r="B2585" t="s">
        <v>9975</v>
      </c>
      <c r="C2585" t="str">
        <f>"9783030894955"</f>
        <v>9783030894955</v>
      </c>
      <c r="D2585" t="str">
        <f>"9783030894962"</f>
        <v>9783030894962</v>
      </c>
      <c r="E2585" t="s">
        <v>2905</v>
      </c>
      <c r="F2585" s="1">
        <v>44538</v>
      </c>
      <c r="G2585" t="s">
        <v>9976</v>
      </c>
      <c r="H2585" t="s">
        <v>239</v>
      </c>
      <c r="I2585" t="s">
        <v>6804</v>
      </c>
      <c r="L2585" t="s">
        <v>20</v>
      </c>
      <c r="M2585" t="s">
        <v>9977</v>
      </c>
    </row>
    <row r="2586" spans="1:13" x14ac:dyDescent="0.25">
      <c r="A2586">
        <v>6824273</v>
      </c>
      <c r="B2586" t="s">
        <v>9978</v>
      </c>
      <c r="C2586" t="str">
        <f>"9783030790349"</f>
        <v>9783030790349</v>
      </c>
      <c r="D2586" t="str">
        <f>"9783030790356"</f>
        <v>9783030790356</v>
      </c>
      <c r="E2586" t="s">
        <v>2905</v>
      </c>
      <c r="F2586" s="1">
        <v>44540</v>
      </c>
      <c r="G2586" t="s">
        <v>9979</v>
      </c>
      <c r="H2586" t="s">
        <v>9980</v>
      </c>
      <c r="I2586" t="s">
        <v>4239</v>
      </c>
      <c r="L2586" t="s">
        <v>20</v>
      </c>
      <c r="M2586" t="s">
        <v>9981</v>
      </c>
    </row>
    <row r="2587" spans="1:13" x14ac:dyDescent="0.25">
      <c r="A2587">
        <v>6824280</v>
      </c>
      <c r="B2587" t="s">
        <v>9982</v>
      </c>
      <c r="C2587" t="str">
        <f>"9783030888664"</f>
        <v>9783030888664</v>
      </c>
      <c r="D2587" t="str">
        <f>"9783030888671"</f>
        <v>9783030888671</v>
      </c>
      <c r="E2587" t="s">
        <v>2905</v>
      </c>
      <c r="F2587" s="1">
        <v>44538</v>
      </c>
      <c r="G2587" t="s">
        <v>9983</v>
      </c>
      <c r="H2587" t="s">
        <v>743</v>
      </c>
      <c r="I2587" t="s">
        <v>9984</v>
      </c>
      <c r="J2587">
        <v>364.68</v>
      </c>
      <c r="L2587" t="s">
        <v>20</v>
      </c>
      <c r="M2587" t="s">
        <v>9985</v>
      </c>
    </row>
    <row r="2588" spans="1:13" x14ac:dyDescent="0.25">
      <c r="A2588">
        <v>6824282</v>
      </c>
      <c r="B2588" t="s">
        <v>9986</v>
      </c>
      <c r="C2588" t="str">
        <f>"9783030861773"</f>
        <v>9783030861773</v>
      </c>
      <c r="D2588" t="str">
        <f>"9783030861780"</f>
        <v>9783030861780</v>
      </c>
      <c r="E2588" t="s">
        <v>2905</v>
      </c>
      <c r="F2588" s="1">
        <v>44539</v>
      </c>
      <c r="G2588" t="s">
        <v>9987</v>
      </c>
      <c r="H2588" t="s">
        <v>83</v>
      </c>
      <c r="I2588" t="s">
        <v>4749</v>
      </c>
      <c r="L2588" t="s">
        <v>20</v>
      </c>
      <c r="M2588" t="s">
        <v>9988</v>
      </c>
    </row>
    <row r="2589" spans="1:13" x14ac:dyDescent="0.25">
      <c r="A2589">
        <v>6824289</v>
      </c>
      <c r="B2589" t="s">
        <v>9989</v>
      </c>
      <c r="C2589" t="str">
        <f>"9783030711467"</f>
        <v>9783030711467</v>
      </c>
      <c r="D2589" t="str">
        <f>"9783030711474"</f>
        <v>9783030711474</v>
      </c>
      <c r="E2589" t="s">
        <v>2905</v>
      </c>
      <c r="F2589" s="1">
        <v>44539</v>
      </c>
      <c r="G2589" t="s">
        <v>9990</v>
      </c>
      <c r="H2589" t="s">
        <v>120</v>
      </c>
      <c r="I2589" t="s">
        <v>4239</v>
      </c>
      <c r="L2589" t="s">
        <v>20</v>
      </c>
      <c r="M2589" t="s">
        <v>9991</v>
      </c>
    </row>
    <row r="2590" spans="1:13" x14ac:dyDescent="0.25">
      <c r="A2590">
        <v>6824317</v>
      </c>
      <c r="B2590" t="s">
        <v>9992</v>
      </c>
      <c r="C2590" t="str">
        <f>""</f>
        <v/>
      </c>
      <c r="D2590" t="str">
        <f>"9781934831182"</f>
        <v>9781934831182</v>
      </c>
      <c r="E2590" t="s">
        <v>9993</v>
      </c>
      <c r="F2590" s="1">
        <v>42552</v>
      </c>
      <c r="G2590" t="s">
        <v>9994</v>
      </c>
      <c r="H2590" t="s">
        <v>64</v>
      </c>
      <c r="I2590" t="s">
        <v>9995</v>
      </c>
      <c r="L2590" t="s">
        <v>20</v>
      </c>
      <c r="M2590" t="s">
        <v>9996</v>
      </c>
    </row>
    <row r="2591" spans="1:13" x14ac:dyDescent="0.25">
      <c r="A2591">
        <v>6824318</v>
      </c>
      <c r="B2591" t="s">
        <v>9997</v>
      </c>
      <c r="C2591" t="str">
        <f>""</f>
        <v/>
      </c>
      <c r="D2591" t="str">
        <f>"9781934831175"</f>
        <v>9781934831175</v>
      </c>
      <c r="E2591" t="s">
        <v>9993</v>
      </c>
      <c r="F2591" s="1">
        <v>42552</v>
      </c>
      <c r="G2591" t="s">
        <v>9998</v>
      </c>
      <c r="H2591" t="s">
        <v>1624</v>
      </c>
      <c r="I2591" t="s">
        <v>9999</v>
      </c>
      <c r="L2591" t="s">
        <v>20</v>
      </c>
      <c r="M2591" t="s">
        <v>10000</v>
      </c>
    </row>
    <row r="2592" spans="1:13" x14ac:dyDescent="0.25">
      <c r="A2592">
        <v>6824319</v>
      </c>
      <c r="B2592" t="s">
        <v>10001</v>
      </c>
      <c r="C2592" t="str">
        <f>""</f>
        <v/>
      </c>
      <c r="D2592" t="str">
        <f>"9781934831151"</f>
        <v>9781934831151</v>
      </c>
      <c r="E2592" t="s">
        <v>9993</v>
      </c>
      <c r="F2592" s="1">
        <v>42552</v>
      </c>
      <c r="G2592" t="s">
        <v>10002</v>
      </c>
      <c r="H2592" t="s">
        <v>5094</v>
      </c>
      <c r="I2592" t="s">
        <v>10003</v>
      </c>
      <c r="L2592" t="s">
        <v>20</v>
      </c>
      <c r="M2592" t="s">
        <v>10004</v>
      </c>
    </row>
    <row r="2593" spans="1:13" x14ac:dyDescent="0.25">
      <c r="A2593">
        <v>6824320</v>
      </c>
      <c r="B2593" t="s">
        <v>10005</v>
      </c>
      <c r="C2593" t="str">
        <f>"9781934831236"</f>
        <v>9781934831236</v>
      </c>
      <c r="D2593" t="str">
        <f>"9781934831243"</f>
        <v>9781934831243</v>
      </c>
      <c r="E2593" t="s">
        <v>9993</v>
      </c>
      <c r="F2593" s="1">
        <v>43951</v>
      </c>
      <c r="G2593" t="s">
        <v>10006</v>
      </c>
      <c r="H2593" t="s">
        <v>64</v>
      </c>
      <c r="L2593" t="s">
        <v>20</v>
      </c>
      <c r="M2593" t="s">
        <v>10007</v>
      </c>
    </row>
    <row r="2594" spans="1:13" x14ac:dyDescent="0.25">
      <c r="A2594">
        <v>6824321</v>
      </c>
      <c r="B2594" t="s">
        <v>10008</v>
      </c>
      <c r="C2594" t="str">
        <f>""</f>
        <v/>
      </c>
      <c r="D2594" t="str">
        <f>"9781934831144"</f>
        <v>9781934831144</v>
      </c>
      <c r="E2594" t="s">
        <v>9993</v>
      </c>
      <c r="F2594" s="1">
        <v>42186</v>
      </c>
      <c r="G2594" t="s">
        <v>10009</v>
      </c>
      <c r="H2594" t="s">
        <v>2915</v>
      </c>
      <c r="I2594" t="s">
        <v>10010</v>
      </c>
      <c r="J2594">
        <v>362.10680000000002</v>
      </c>
      <c r="L2594" t="s">
        <v>20</v>
      </c>
      <c r="M2594" t="s">
        <v>10011</v>
      </c>
    </row>
    <row r="2595" spans="1:13" x14ac:dyDescent="0.25">
      <c r="A2595">
        <v>6824322</v>
      </c>
      <c r="B2595" t="s">
        <v>10012</v>
      </c>
      <c r="C2595" t="str">
        <f>""</f>
        <v/>
      </c>
      <c r="D2595" t="str">
        <f>"9781934831076"</f>
        <v>9781934831076</v>
      </c>
      <c r="E2595" t="s">
        <v>9993</v>
      </c>
      <c r="F2595" s="1">
        <v>42224</v>
      </c>
      <c r="G2595" t="s">
        <v>10013</v>
      </c>
      <c r="H2595" t="s">
        <v>1707</v>
      </c>
      <c r="I2595" t="s">
        <v>10014</v>
      </c>
      <c r="L2595" t="s">
        <v>20</v>
      </c>
      <c r="M2595" t="s">
        <v>10015</v>
      </c>
    </row>
    <row r="2596" spans="1:13" x14ac:dyDescent="0.25">
      <c r="A2596">
        <v>6824323</v>
      </c>
      <c r="B2596" t="s">
        <v>10016</v>
      </c>
      <c r="C2596" t="str">
        <f>""</f>
        <v/>
      </c>
      <c r="D2596" t="str">
        <f>"9781934831212"</f>
        <v>9781934831212</v>
      </c>
      <c r="E2596" t="s">
        <v>9993</v>
      </c>
      <c r="F2596" s="1">
        <v>42917</v>
      </c>
      <c r="G2596" t="s">
        <v>10017</v>
      </c>
      <c r="H2596" t="s">
        <v>9973</v>
      </c>
      <c r="I2596" t="s">
        <v>10018</v>
      </c>
      <c r="J2596" t="s">
        <v>10019</v>
      </c>
      <c r="L2596" t="s">
        <v>20</v>
      </c>
      <c r="M2596" t="s">
        <v>10020</v>
      </c>
    </row>
    <row r="2597" spans="1:13" x14ac:dyDescent="0.25">
      <c r="A2597">
        <v>6824324</v>
      </c>
      <c r="B2597" t="s">
        <v>10021</v>
      </c>
      <c r="C2597" t="str">
        <f>""</f>
        <v/>
      </c>
      <c r="D2597" t="str">
        <f>"9781934831038"</f>
        <v>9781934831038</v>
      </c>
      <c r="E2597" t="s">
        <v>9993</v>
      </c>
      <c r="F2597" s="1">
        <v>40613</v>
      </c>
      <c r="G2597" t="s">
        <v>10022</v>
      </c>
      <c r="H2597" t="s">
        <v>1753</v>
      </c>
      <c r="L2597" t="s">
        <v>20</v>
      </c>
      <c r="M2597" t="s">
        <v>10023</v>
      </c>
    </row>
    <row r="2598" spans="1:13" x14ac:dyDescent="0.25">
      <c r="A2598">
        <v>6824325</v>
      </c>
      <c r="B2598" t="s">
        <v>10024</v>
      </c>
      <c r="C2598" t="str">
        <f>""</f>
        <v/>
      </c>
      <c r="D2598" t="str">
        <f>"9781934831229"</f>
        <v>9781934831229</v>
      </c>
      <c r="E2598" t="s">
        <v>9993</v>
      </c>
      <c r="F2598" s="1">
        <v>43282</v>
      </c>
      <c r="G2598" t="s">
        <v>10025</v>
      </c>
      <c r="H2598" t="s">
        <v>363</v>
      </c>
      <c r="I2598" t="s">
        <v>10026</v>
      </c>
      <c r="L2598" t="s">
        <v>20</v>
      </c>
      <c r="M2598" t="s">
        <v>10027</v>
      </c>
    </row>
    <row r="2599" spans="1:13" x14ac:dyDescent="0.25">
      <c r="A2599">
        <v>6824326</v>
      </c>
      <c r="B2599" t="s">
        <v>10028</v>
      </c>
      <c r="C2599" t="str">
        <f>""</f>
        <v/>
      </c>
      <c r="D2599" t="str">
        <f>"9781934831106"</f>
        <v>9781934831106</v>
      </c>
      <c r="E2599" t="s">
        <v>9993</v>
      </c>
      <c r="F2599" s="1">
        <v>41091</v>
      </c>
      <c r="G2599" t="s">
        <v>10013</v>
      </c>
      <c r="H2599" t="s">
        <v>547</v>
      </c>
      <c r="I2599" t="s">
        <v>10029</v>
      </c>
      <c r="J2599">
        <v>333.82330000000002</v>
      </c>
      <c r="L2599" t="s">
        <v>20</v>
      </c>
      <c r="M2599" t="s">
        <v>10030</v>
      </c>
    </row>
    <row r="2600" spans="1:13" x14ac:dyDescent="0.25">
      <c r="A2600">
        <v>6824327</v>
      </c>
      <c r="B2600" t="s">
        <v>10031</v>
      </c>
      <c r="C2600" t="str">
        <f>""</f>
        <v/>
      </c>
      <c r="D2600" t="str">
        <f>"9781934831120"</f>
        <v>9781934831120</v>
      </c>
      <c r="E2600" t="s">
        <v>9993</v>
      </c>
      <c r="F2600" s="1">
        <v>41456</v>
      </c>
      <c r="G2600" t="s">
        <v>10032</v>
      </c>
      <c r="H2600" t="s">
        <v>1624</v>
      </c>
      <c r="I2600" t="s">
        <v>10033</v>
      </c>
      <c r="L2600" t="s">
        <v>20</v>
      </c>
      <c r="M2600" t="s">
        <v>10034</v>
      </c>
    </row>
    <row r="2601" spans="1:13" x14ac:dyDescent="0.25">
      <c r="A2601">
        <v>6824328</v>
      </c>
      <c r="B2601" t="s">
        <v>10035</v>
      </c>
      <c r="C2601" t="str">
        <f>""</f>
        <v/>
      </c>
      <c r="D2601" t="str">
        <f>"9781934831007"</f>
        <v>9781934831007</v>
      </c>
      <c r="E2601" t="s">
        <v>9993</v>
      </c>
      <c r="F2601" s="1">
        <v>40438</v>
      </c>
      <c r="G2601" t="s">
        <v>10036</v>
      </c>
      <c r="H2601" t="s">
        <v>4161</v>
      </c>
      <c r="L2601" t="s">
        <v>20</v>
      </c>
      <c r="M2601" t="s">
        <v>10037</v>
      </c>
    </row>
    <row r="2602" spans="1:13" x14ac:dyDescent="0.25">
      <c r="A2602">
        <v>6824329</v>
      </c>
      <c r="B2602" t="s">
        <v>10038</v>
      </c>
      <c r="C2602" t="str">
        <f>""</f>
        <v/>
      </c>
      <c r="D2602" t="str">
        <f>"9781934831083"</f>
        <v>9781934831083</v>
      </c>
      <c r="E2602" t="s">
        <v>9993</v>
      </c>
      <c r="F2602" s="1">
        <v>40725</v>
      </c>
      <c r="G2602" t="s">
        <v>10039</v>
      </c>
      <c r="H2602" t="s">
        <v>363</v>
      </c>
      <c r="I2602" t="s">
        <v>10040</v>
      </c>
      <c r="L2602" t="s">
        <v>20</v>
      </c>
      <c r="M2602" t="s">
        <v>10041</v>
      </c>
    </row>
    <row r="2603" spans="1:13" x14ac:dyDescent="0.25">
      <c r="A2603">
        <v>6824330</v>
      </c>
      <c r="B2603" t="s">
        <v>10042</v>
      </c>
      <c r="C2603" t="str">
        <f>""</f>
        <v/>
      </c>
      <c r="D2603" t="str">
        <f>"9781934831045"</f>
        <v>9781934831045</v>
      </c>
      <c r="E2603" t="s">
        <v>9993</v>
      </c>
      <c r="F2603" s="1">
        <v>40544</v>
      </c>
      <c r="G2603" t="s">
        <v>10043</v>
      </c>
      <c r="H2603" t="s">
        <v>1624</v>
      </c>
      <c r="I2603" t="s">
        <v>10044</v>
      </c>
      <c r="L2603" t="s">
        <v>20</v>
      </c>
      <c r="M2603" t="s">
        <v>10045</v>
      </c>
    </row>
    <row r="2604" spans="1:13" x14ac:dyDescent="0.25">
      <c r="A2604">
        <v>6824332</v>
      </c>
      <c r="B2604" t="s">
        <v>10046</v>
      </c>
      <c r="C2604" t="str">
        <f>""</f>
        <v/>
      </c>
      <c r="D2604" t="str">
        <f>"9781934831069"</f>
        <v>9781934831069</v>
      </c>
      <c r="E2604" t="s">
        <v>9993</v>
      </c>
      <c r="F2604" s="1">
        <v>40817</v>
      </c>
      <c r="G2604" t="s">
        <v>10047</v>
      </c>
      <c r="H2604" t="s">
        <v>1624</v>
      </c>
      <c r="I2604" t="s">
        <v>10048</v>
      </c>
      <c r="J2604">
        <v>362.10973000000001</v>
      </c>
      <c r="L2604" t="s">
        <v>20</v>
      </c>
      <c r="M2604" t="s">
        <v>10049</v>
      </c>
    </row>
    <row r="2605" spans="1:13" x14ac:dyDescent="0.25">
      <c r="A2605">
        <v>6824333</v>
      </c>
      <c r="B2605" t="s">
        <v>10050</v>
      </c>
      <c r="C2605" t="str">
        <f>""</f>
        <v/>
      </c>
      <c r="D2605" t="str">
        <f>"9781934831014"</f>
        <v>9781934831014</v>
      </c>
      <c r="E2605" t="s">
        <v>9993</v>
      </c>
      <c r="F2605" s="1">
        <v>40829</v>
      </c>
      <c r="G2605" t="s">
        <v>10051</v>
      </c>
      <c r="H2605" t="s">
        <v>10052</v>
      </c>
      <c r="L2605" t="s">
        <v>20</v>
      </c>
      <c r="M2605" t="s">
        <v>10053</v>
      </c>
    </row>
    <row r="2606" spans="1:13" x14ac:dyDescent="0.25">
      <c r="A2606">
        <v>6824334</v>
      </c>
      <c r="B2606" t="s">
        <v>10054</v>
      </c>
      <c r="C2606" t="str">
        <f>""</f>
        <v/>
      </c>
      <c r="D2606" t="str">
        <f>"9781934831137"</f>
        <v>9781934831137</v>
      </c>
      <c r="E2606" t="s">
        <v>9993</v>
      </c>
      <c r="F2606" s="1">
        <v>41821</v>
      </c>
      <c r="G2606" t="s">
        <v>10055</v>
      </c>
      <c r="H2606" t="s">
        <v>64</v>
      </c>
      <c r="I2606" t="s">
        <v>10056</v>
      </c>
      <c r="L2606" t="s">
        <v>20</v>
      </c>
      <c r="M2606" t="s">
        <v>10057</v>
      </c>
    </row>
    <row r="2607" spans="1:13" x14ac:dyDescent="0.25">
      <c r="A2607">
        <v>6824335</v>
      </c>
      <c r="B2607" t="s">
        <v>10058</v>
      </c>
      <c r="C2607" t="str">
        <f>""</f>
        <v/>
      </c>
      <c r="D2607" t="str">
        <f>"9781934831168"</f>
        <v>9781934831168</v>
      </c>
      <c r="E2607" t="s">
        <v>9993</v>
      </c>
      <c r="F2607" s="1">
        <v>42552</v>
      </c>
      <c r="G2607" t="s">
        <v>10059</v>
      </c>
      <c r="H2607" t="s">
        <v>2603</v>
      </c>
      <c r="I2607" t="s">
        <v>10060</v>
      </c>
      <c r="L2607" t="s">
        <v>20</v>
      </c>
      <c r="M2607" t="s">
        <v>10061</v>
      </c>
    </row>
    <row r="2608" spans="1:13" x14ac:dyDescent="0.25">
      <c r="A2608">
        <v>6824336</v>
      </c>
      <c r="B2608" t="s">
        <v>10062</v>
      </c>
      <c r="C2608" t="str">
        <f>""</f>
        <v/>
      </c>
      <c r="D2608" t="str">
        <f>"9781934831021"</f>
        <v>9781934831021</v>
      </c>
      <c r="E2608" t="s">
        <v>9993</v>
      </c>
      <c r="F2608" s="1">
        <v>40360</v>
      </c>
      <c r="G2608" t="s">
        <v>10063</v>
      </c>
      <c r="H2608" t="s">
        <v>363</v>
      </c>
      <c r="I2608" t="s">
        <v>10064</v>
      </c>
      <c r="L2608" t="s">
        <v>20</v>
      </c>
      <c r="M2608" t="s">
        <v>10065</v>
      </c>
    </row>
    <row r="2609" spans="1:13" x14ac:dyDescent="0.25">
      <c r="A2609">
        <v>6824337</v>
      </c>
      <c r="B2609" t="s">
        <v>10066</v>
      </c>
      <c r="C2609" t="str">
        <f>""</f>
        <v/>
      </c>
      <c r="D2609" t="str">
        <f>"9781934831205"</f>
        <v>9781934831205</v>
      </c>
      <c r="E2609" t="s">
        <v>9993</v>
      </c>
      <c r="F2609" s="1">
        <v>42552</v>
      </c>
      <c r="G2609" t="s">
        <v>10067</v>
      </c>
      <c r="H2609" t="s">
        <v>363</v>
      </c>
      <c r="I2609" t="s">
        <v>10068</v>
      </c>
      <c r="L2609" t="s">
        <v>20</v>
      </c>
      <c r="M2609" t="s">
        <v>10069</v>
      </c>
    </row>
    <row r="2610" spans="1:13" x14ac:dyDescent="0.25">
      <c r="A2610">
        <v>6824949</v>
      </c>
      <c r="B2610" t="s">
        <v>10070</v>
      </c>
      <c r="C2610" t="str">
        <f>"9783030836399"</f>
        <v>9783030836399</v>
      </c>
      <c r="D2610" t="str">
        <f>"9783030836405"</f>
        <v>9783030836405</v>
      </c>
      <c r="E2610" t="s">
        <v>2905</v>
      </c>
      <c r="F2610" s="1">
        <v>44540</v>
      </c>
      <c r="G2610" t="s">
        <v>10071</v>
      </c>
      <c r="H2610" t="s">
        <v>1178</v>
      </c>
      <c r="I2610" t="s">
        <v>5490</v>
      </c>
      <c r="L2610" t="s">
        <v>20</v>
      </c>
      <c r="M2610" t="s">
        <v>10072</v>
      </c>
    </row>
    <row r="2611" spans="1:13" x14ac:dyDescent="0.25">
      <c r="A2611">
        <v>6824950</v>
      </c>
      <c r="B2611" t="s">
        <v>10073</v>
      </c>
      <c r="C2611" t="str">
        <f>"9783662637920"</f>
        <v>9783662637920</v>
      </c>
      <c r="D2611" t="str">
        <f>"9783662637937"</f>
        <v>9783662637937</v>
      </c>
      <c r="E2611" t="s">
        <v>4540</v>
      </c>
      <c r="F2611" s="1">
        <v>44540</v>
      </c>
      <c r="G2611" t="s">
        <v>10074</v>
      </c>
      <c r="H2611" t="s">
        <v>1178</v>
      </c>
      <c r="I2611" t="s">
        <v>4478</v>
      </c>
      <c r="L2611" t="s">
        <v>291</v>
      </c>
      <c r="M2611" t="s">
        <v>10075</v>
      </c>
    </row>
    <row r="2612" spans="1:13" x14ac:dyDescent="0.25">
      <c r="A2612">
        <v>6825110</v>
      </c>
      <c r="B2612" t="s">
        <v>10076</v>
      </c>
      <c r="C2612" t="str">
        <f>"9783030770396"</f>
        <v>9783030770396</v>
      </c>
      <c r="D2612" t="str">
        <f>"9783030770402"</f>
        <v>9783030770402</v>
      </c>
      <c r="E2612" t="s">
        <v>2905</v>
      </c>
      <c r="F2612" s="1">
        <v>44541</v>
      </c>
      <c r="G2612" t="s">
        <v>10077</v>
      </c>
      <c r="H2612" t="s">
        <v>2623</v>
      </c>
      <c r="I2612" t="s">
        <v>4495</v>
      </c>
      <c r="L2612" t="s">
        <v>20</v>
      </c>
      <c r="M2612" t="s">
        <v>10078</v>
      </c>
    </row>
    <row r="2613" spans="1:13" x14ac:dyDescent="0.25">
      <c r="A2613">
        <v>6825144</v>
      </c>
      <c r="B2613" t="s">
        <v>10079</v>
      </c>
      <c r="C2613" t="str">
        <f>"9789811678486"</f>
        <v>9789811678486</v>
      </c>
      <c r="D2613" t="str">
        <f>"9789811678493"</f>
        <v>9789811678493</v>
      </c>
      <c r="E2613" t="s">
        <v>4099</v>
      </c>
      <c r="F2613" s="1">
        <v>44541</v>
      </c>
      <c r="G2613" t="s">
        <v>10080</v>
      </c>
      <c r="H2613" t="s">
        <v>1753</v>
      </c>
      <c r="I2613" t="s">
        <v>4474</v>
      </c>
      <c r="J2613">
        <v>658.00099999999998</v>
      </c>
      <c r="L2613" t="s">
        <v>20</v>
      </c>
      <c r="M2613" t="s">
        <v>10081</v>
      </c>
    </row>
    <row r="2614" spans="1:13" x14ac:dyDescent="0.25">
      <c r="A2614">
        <v>6825145</v>
      </c>
      <c r="B2614" t="s">
        <v>10082</v>
      </c>
      <c r="C2614" t="str">
        <f>"9783030902551"</f>
        <v>9783030902551</v>
      </c>
      <c r="D2614" t="str">
        <f>"9783030902568"</f>
        <v>9783030902568</v>
      </c>
      <c r="E2614" t="s">
        <v>2905</v>
      </c>
      <c r="F2614" s="1">
        <v>44541</v>
      </c>
      <c r="G2614" t="s">
        <v>10083</v>
      </c>
      <c r="H2614" t="s">
        <v>30</v>
      </c>
      <c r="I2614" t="s">
        <v>4807</v>
      </c>
      <c r="L2614" t="s">
        <v>20</v>
      </c>
      <c r="M2614" t="s">
        <v>10084</v>
      </c>
    </row>
    <row r="2615" spans="1:13" x14ac:dyDescent="0.25">
      <c r="A2615">
        <v>6825384</v>
      </c>
      <c r="B2615" t="s">
        <v>10085</v>
      </c>
      <c r="C2615" t="str">
        <f>"9783030784973"</f>
        <v>9783030784973</v>
      </c>
      <c r="D2615" t="str">
        <f>"9783030784980"</f>
        <v>9783030784980</v>
      </c>
      <c r="E2615" t="s">
        <v>2905</v>
      </c>
      <c r="F2615" s="1">
        <v>44542</v>
      </c>
      <c r="G2615" t="s">
        <v>10086</v>
      </c>
      <c r="H2615" t="s">
        <v>1753</v>
      </c>
      <c r="I2615" t="s">
        <v>6719</v>
      </c>
      <c r="L2615" t="s">
        <v>20</v>
      </c>
      <c r="M2615" t="s">
        <v>10087</v>
      </c>
    </row>
    <row r="2616" spans="1:13" x14ac:dyDescent="0.25">
      <c r="A2616">
        <v>6825627</v>
      </c>
      <c r="B2616" t="s">
        <v>10088</v>
      </c>
      <c r="C2616" t="str">
        <f>"9789633864173"</f>
        <v>9789633864173</v>
      </c>
      <c r="D2616" t="str">
        <f>"9789633864180"</f>
        <v>9789633864180</v>
      </c>
      <c r="E2616" t="s">
        <v>2263</v>
      </c>
      <c r="F2616" s="1">
        <v>44666</v>
      </c>
      <c r="G2616" t="s">
        <v>10089</v>
      </c>
      <c r="H2616" t="s">
        <v>10090</v>
      </c>
      <c r="L2616" t="s">
        <v>20</v>
      </c>
      <c r="M2616" t="s">
        <v>10091</v>
      </c>
    </row>
    <row r="2617" spans="1:13" x14ac:dyDescent="0.25">
      <c r="A2617">
        <v>6825628</v>
      </c>
      <c r="B2617" t="s">
        <v>10092</v>
      </c>
      <c r="C2617" t="str">
        <f>"9789633864159"</f>
        <v>9789633864159</v>
      </c>
      <c r="D2617" t="str">
        <f>"9789633864166"</f>
        <v>9789633864166</v>
      </c>
      <c r="E2617" t="s">
        <v>2263</v>
      </c>
      <c r="F2617" s="1">
        <v>44607</v>
      </c>
      <c r="G2617" t="s">
        <v>10093</v>
      </c>
      <c r="H2617" t="s">
        <v>64</v>
      </c>
      <c r="J2617">
        <v>305.89149704699997</v>
      </c>
      <c r="L2617" t="s">
        <v>20</v>
      </c>
      <c r="M2617" t="s">
        <v>10094</v>
      </c>
    </row>
    <row r="2618" spans="1:13" x14ac:dyDescent="0.25">
      <c r="A2618">
        <v>6825723</v>
      </c>
      <c r="B2618" t="s">
        <v>10095</v>
      </c>
      <c r="C2618" t="str">
        <f>"9783658361280"</f>
        <v>9783658361280</v>
      </c>
      <c r="D2618" t="str">
        <f>"9783658361297"</f>
        <v>9783658361297</v>
      </c>
      <c r="E2618" t="s">
        <v>4472</v>
      </c>
      <c r="F2618" s="1">
        <v>44543</v>
      </c>
      <c r="G2618" t="s">
        <v>10096</v>
      </c>
      <c r="H2618" t="s">
        <v>1753</v>
      </c>
      <c r="I2618" t="s">
        <v>4474</v>
      </c>
      <c r="L2618" t="s">
        <v>291</v>
      </c>
      <c r="M2618" t="s">
        <v>10097</v>
      </c>
    </row>
    <row r="2619" spans="1:13" x14ac:dyDescent="0.25">
      <c r="A2619">
        <v>6825846</v>
      </c>
      <c r="B2619" t="s">
        <v>10098</v>
      </c>
      <c r="C2619" t="str">
        <f>"9781800642850"</f>
        <v>9781800642850</v>
      </c>
      <c r="D2619" t="str">
        <f>"9781800642867"</f>
        <v>9781800642867</v>
      </c>
      <c r="E2619" t="s">
        <v>2270</v>
      </c>
      <c r="F2619" s="1">
        <v>44515</v>
      </c>
      <c r="G2619" t="s">
        <v>10099</v>
      </c>
      <c r="H2619" t="s">
        <v>70</v>
      </c>
      <c r="L2619" t="s">
        <v>20</v>
      </c>
      <c r="M2619" t="s">
        <v>10100</v>
      </c>
    </row>
    <row r="2620" spans="1:13" x14ac:dyDescent="0.25">
      <c r="A2620">
        <v>6825847</v>
      </c>
      <c r="B2620" t="s">
        <v>10101</v>
      </c>
      <c r="C2620" t="str">
        <f>"9781800642799"</f>
        <v>9781800642799</v>
      </c>
      <c r="D2620" t="str">
        <f>"9781800642805"</f>
        <v>9781800642805</v>
      </c>
      <c r="E2620" t="s">
        <v>2270</v>
      </c>
      <c r="F2620" s="1">
        <v>44531</v>
      </c>
      <c r="G2620" t="s">
        <v>10102</v>
      </c>
      <c r="H2620" t="s">
        <v>1586</v>
      </c>
      <c r="I2620" t="s">
        <v>10103</v>
      </c>
      <c r="J2620">
        <v>155.24</v>
      </c>
      <c r="L2620" t="s">
        <v>20</v>
      </c>
      <c r="M2620" t="s">
        <v>10104</v>
      </c>
    </row>
    <row r="2621" spans="1:13" x14ac:dyDescent="0.25">
      <c r="A2621">
        <v>6825848</v>
      </c>
      <c r="B2621" t="s">
        <v>10105</v>
      </c>
      <c r="C2621" t="str">
        <f>"9781800643390"</f>
        <v>9781800643390</v>
      </c>
      <c r="D2621" t="str">
        <f>"9781800643406"</f>
        <v>9781800643406</v>
      </c>
      <c r="E2621" t="s">
        <v>2270</v>
      </c>
      <c r="F2621" s="1">
        <v>44540</v>
      </c>
      <c r="G2621" t="s">
        <v>10106</v>
      </c>
      <c r="H2621" t="s">
        <v>780</v>
      </c>
      <c r="L2621" t="s">
        <v>20</v>
      </c>
      <c r="M2621" t="s">
        <v>10107</v>
      </c>
    </row>
    <row r="2622" spans="1:13" x14ac:dyDescent="0.25">
      <c r="A2622">
        <v>6825849</v>
      </c>
      <c r="B2622" t="s">
        <v>10108</v>
      </c>
      <c r="C2622" t="str">
        <f>"9781800643512"</f>
        <v>9781800643512</v>
      </c>
      <c r="D2622" t="str">
        <f>"9781800643529"</f>
        <v>9781800643529</v>
      </c>
      <c r="E2622" t="s">
        <v>2270</v>
      </c>
      <c r="F2622" s="1">
        <v>44531</v>
      </c>
      <c r="G2622" t="s">
        <v>10109</v>
      </c>
      <c r="H2622" t="s">
        <v>41</v>
      </c>
      <c r="L2622" t="s">
        <v>20</v>
      </c>
      <c r="M2622" t="s">
        <v>10110</v>
      </c>
    </row>
    <row r="2623" spans="1:13" x14ac:dyDescent="0.25">
      <c r="A2623">
        <v>6825850</v>
      </c>
      <c r="B2623" t="s">
        <v>10111</v>
      </c>
      <c r="C2623" t="str">
        <f>"9781800640665"</f>
        <v>9781800640665</v>
      </c>
      <c r="D2623" t="str">
        <f>"9781800640672"</f>
        <v>9781800640672</v>
      </c>
      <c r="E2623" t="s">
        <v>2270</v>
      </c>
      <c r="F2623" s="1">
        <v>44533</v>
      </c>
      <c r="G2623" t="s">
        <v>10112</v>
      </c>
      <c r="H2623" t="s">
        <v>70</v>
      </c>
      <c r="I2623" t="s">
        <v>10113</v>
      </c>
      <c r="L2623" t="s">
        <v>20</v>
      </c>
      <c r="M2623" t="s">
        <v>10114</v>
      </c>
    </row>
    <row r="2624" spans="1:13" x14ac:dyDescent="0.25">
      <c r="A2624">
        <v>6825855</v>
      </c>
      <c r="B2624" t="s">
        <v>10115</v>
      </c>
      <c r="C2624" t="str">
        <f>"9783899493245"</f>
        <v>9783899493245</v>
      </c>
      <c r="D2624" t="str">
        <f>"9783110927832"</f>
        <v>9783110927832</v>
      </c>
      <c r="E2624" t="s">
        <v>270</v>
      </c>
      <c r="F2624" s="1">
        <v>38897</v>
      </c>
      <c r="G2624" t="s">
        <v>10116</v>
      </c>
      <c r="H2624" t="s">
        <v>239</v>
      </c>
      <c r="L2624" t="s">
        <v>291</v>
      </c>
      <c r="M2624" t="s">
        <v>10117</v>
      </c>
    </row>
    <row r="2625" spans="1:13" x14ac:dyDescent="0.25">
      <c r="A2625">
        <v>6826328</v>
      </c>
      <c r="B2625" t="s">
        <v>10118</v>
      </c>
      <c r="C2625" t="str">
        <f>"9789811667824"</f>
        <v>9789811667824</v>
      </c>
      <c r="D2625" t="str">
        <f>"9789811667831"</f>
        <v>9789811667831</v>
      </c>
      <c r="E2625" t="s">
        <v>4099</v>
      </c>
      <c r="F2625" s="1">
        <v>44544</v>
      </c>
      <c r="G2625" t="s">
        <v>10119</v>
      </c>
      <c r="H2625" t="s">
        <v>1753</v>
      </c>
      <c r="I2625" t="s">
        <v>5609</v>
      </c>
      <c r="L2625" t="s">
        <v>20</v>
      </c>
      <c r="M2625" t="s">
        <v>10120</v>
      </c>
    </row>
    <row r="2626" spans="1:13" x14ac:dyDescent="0.25">
      <c r="A2626">
        <v>6827104</v>
      </c>
      <c r="B2626" t="s">
        <v>10121</v>
      </c>
      <c r="C2626" t="str">
        <f>"9783658356880"</f>
        <v>9783658356880</v>
      </c>
      <c r="D2626" t="str">
        <f>"9783658356897"</f>
        <v>9783658356897</v>
      </c>
      <c r="E2626" t="s">
        <v>4472</v>
      </c>
      <c r="F2626" s="1">
        <v>44545</v>
      </c>
      <c r="G2626" t="s">
        <v>10122</v>
      </c>
      <c r="H2626" t="s">
        <v>64</v>
      </c>
      <c r="I2626" t="s">
        <v>2908</v>
      </c>
      <c r="L2626" t="s">
        <v>291</v>
      </c>
      <c r="M2626" t="s">
        <v>10123</v>
      </c>
    </row>
    <row r="2627" spans="1:13" x14ac:dyDescent="0.25">
      <c r="A2627">
        <v>6827113</v>
      </c>
      <c r="B2627" t="s">
        <v>10124</v>
      </c>
      <c r="C2627" t="str">
        <f>"9783658362867"</f>
        <v>9783658362867</v>
      </c>
      <c r="D2627" t="str">
        <f>"9783658362874"</f>
        <v>9783658362874</v>
      </c>
      <c r="E2627" t="s">
        <v>4472</v>
      </c>
      <c r="F2627" s="1">
        <v>44545</v>
      </c>
      <c r="G2627" t="s">
        <v>10125</v>
      </c>
      <c r="H2627" t="s">
        <v>1753</v>
      </c>
      <c r="I2627" t="s">
        <v>6435</v>
      </c>
      <c r="L2627" t="s">
        <v>291</v>
      </c>
      <c r="M2627" t="s">
        <v>10126</v>
      </c>
    </row>
    <row r="2628" spans="1:13" x14ac:dyDescent="0.25">
      <c r="A2628">
        <v>6827120</v>
      </c>
      <c r="B2628" t="s">
        <v>10127</v>
      </c>
      <c r="C2628" t="str">
        <f>"9783030764289"</f>
        <v>9783030764289</v>
      </c>
      <c r="D2628" t="str">
        <f>"9783030764296"</f>
        <v>9783030764296</v>
      </c>
      <c r="E2628" t="s">
        <v>2905</v>
      </c>
      <c r="F2628" s="1">
        <v>44545</v>
      </c>
      <c r="G2628" t="s">
        <v>10128</v>
      </c>
      <c r="H2628" t="s">
        <v>64</v>
      </c>
      <c r="I2628" t="s">
        <v>6524</v>
      </c>
      <c r="J2628">
        <v>362.73399999999998</v>
      </c>
      <c r="L2628" t="s">
        <v>20</v>
      </c>
      <c r="M2628" t="s">
        <v>10129</v>
      </c>
    </row>
    <row r="2629" spans="1:13" x14ac:dyDescent="0.25">
      <c r="A2629">
        <v>6827141</v>
      </c>
      <c r="B2629" t="s">
        <v>10130</v>
      </c>
      <c r="C2629" t="str">
        <f>"9783030882020"</f>
        <v>9783030882020</v>
      </c>
      <c r="D2629" t="str">
        <f>"9783030882037"</f>
        <v>9783030882037</v>
      </c>
      <c r="E2629" t="s">
        <v>2905</v>
      </c>
      <c r="F2629" s="1">
        <v>44545</v>
      </c>
      <c r="G2629" t="s">
        <v>10131</v>
      </c>
      <c r="H2629" t="s">
        <v>1753</v>
      </c>
      <c r="I2629" t="s">
        <v>8254</v>
      </c>
      <c r="J2629">
        <v>658.40800000000002</v>
      </c>
      <c r="L2629" t="s">
        <v>20</v>
      </c>
      <c r="M2629" t="s">
        <v>10132</v>
      </c>
    </row>
    <row r="2630" spans="1:13" x14ac:dyDescent="0.25">
      <c r="A2630">
        <v>6827145</v>
      </c>
      <c r="B2630" t="s">
        <v>10133</v>
      </c>
      <c r="C2630" t="str">
        <f>"9783030902209"</f>
        <v>9783030902209</v>
      </c>
      <c r="D2630" t="str">
        <f>"9783030902216"</f>
        <v>9783030902216</v>
      </c>
      <c r="E2630" t="s">
        <v>2905</v>
      </c>
      <c r="F2630" s="1">
        <v>44545</v>
      </c>
      <c r="G2630" t="s">
        <v>10134</v>
      </c>
      <c r="H2630" t="s">
        <v>30</v>
      </c>
      <c r="I2630" t="s">
        <v>10135</v>
      </c>
      <c r="L2630" t="s">
        <v>20</v>
      </c>
      <c r="M2630" t="s">
        <v>10136</v>
      </c>
    </row>
    <row r="2631" spans="1:13" x14ac:dyDescent="0.25">
      <c r="A2631">
        <v>6827683</v>
      </c>
      <c r="B2631" t="s">
        <v>10137</v>
      </c>
      <c r="C2631" t="str">
        <f>"9783030785888"</f>
        <v>9783030785888</v>
      </c>
      <c r="D2631" t="str">
        <f>"9783030785895"</f>
        <v>9783030785895</v>
      </c>
      <c r="E2631" t="s">
        <v>2905</v>
      </c>
      <c r="F2631" s="1">
        <v>44534</v>
      </c>
      <c r="G2631" t="s">
        <v>10138</v>
      </c>
      <c r="H2631" t="s">
        <v>70</v>
      </c>
      <c r="I2631" t="s">
        <v>9893</v>
      </c>
      <c r="J2631">
        <v>810.93561</v>
      </c>
      <c r="L2631" t="s">
        <v>20</v>
      </c>
      <c r="M2631" t="s">
        <v>10139</v>
      </c>
    </row>
    <row r="2632" spans="1:13" x14ac:dyDescent="0.25">
      <c r="A2632">
        <v>6827686</v>
      </c>
      <c r="B2632" t="s">
        <v>10140</v>
      </c>
      <c r="C2632" t="str">
        <f>"9789811631870"</f>
        <v>9789811631870</v>
      </c>
      <c r="D2632" t="str">
        <f>"9789811631887"</f>
        <v>9789811631887</v>
      </c>
      <c r="E2632" t="s">
        <v>4099</v>
      </c>
      <c r="F2632" s="1">
        <v>44546</v>
      </c>
      <c r="G2632" t="s">
        <v>10141</v>
      </c>
      <c r="H2632" t="s">
        <v>83</v>
      </c>
      <c r="I2632" t="s">
        <v>4749</v>
      </c>
      <c r="L2632" t="s">
        <v>20</v>
      </c>
      <c r="M2632" t="s">
        <v>10142</v>
      </c>
    </row>
    <row r="2633" spans="1:13" x14ac:dyDescent="0.25">
      <c r="A2633">
        <v>6827693</v>
      </c>
      <c r="B2633" t="s">
        <v>10143</v>
      </c>
      <c r="C2633" t="str">
        <f>"9783030884543"</f>
        <v>9783030884543</v>
      </c>
      <c r="D2633" t="str">
        <f>"9783030884550"</f>
        <v>9783030884550</v>
      </c>
      <c r="E2633" t="s">
        <v>2905</v>
      </c>
      <c r="F2633" s="1">
        <v>44534</v>
      </c>
      <c r="G2633" t="s">
        <v>10144</v>
      </c>
      <c r="H2633" t="s">
        <v>10145</v>
      </c>
      <c r="I2633" t="s">
        <v>4936</v>
      </c>
      <c r="J2633">
        <v>333.79</v>
      </c>
      <c r="L2633" t="s">
        <v>20</v>
      </c>
      <c r="M2633" t="s">
        <v>10146</v>
      </c>
    </row>
    <row r="2634" spans="1:13" x14ac:dyDescent="0.25">
      <c r="A2634">
        <v>6827695</v>
      </c>
      <c r="B2634" t="s">
        <v>10147</v>
      </c>
      <c r="C2634" t="str">
        <f>"9783030812096"</f>
        <v>9783030812096</v>
      </c>
      <c r="D2634" t="str">
        <f>"9783030812102"</f>
        <v>9783030812102</v>
      </c>
      <c r="E2634" t="s">
        <v>2905</v>
      </c>
      <c r="F2634" s="1">
        <v>44532</v>
      </c>
      <c r="G2634" t="s">
        <v>10148</v>
      </c>
      <c r="H2634" t="s">
        <v>30</v>
      </c>
      <c r="I2634" t="s">
        <v>4676</v>
      </c>
      <c r="L2634" t="s">
        <v>20</v>
      </c>
      <c r="M2634" t="s">
        <v>10149</v>
      </c>
    </row>
    <row r="2635" spans="1:13" x14ac:dyDescent="0.25">
      <c r="A2635">
        <v>6827696</v>
      </c>
      <c r="B2635" t="s">
        <v>10150</v>
      </c>
      <c r="C2635" t="str">
        <f>"9783030827588"</f>
        <v>9783030827588</v>
      </c>
      <c r="D2635" t="str">
        <f>"9783030827595"</f>
        <v>9783030827595</v>
      </c>
      <c r="E2635" t="s">
        <v>2905</v>
      </c>
      <c r="F2635" s="1">
        <v>44583</v>
      </c>
      <c r="G2635" t="s">
        <v>10151</v>
      </c>
      <c r="H2635" t="s">
        <v>83</v>
      </c>
      <c r="I2635" t="s">
        <v>4615</v>
      </c>
      <c r="L2635" t="s">
        <v>20</v>
      </c>
      <c r="M2635" t="s">
        <v>10152</v>
      </c>
    </row>
    <row r="2636" spans="1:13" x14ac:dyDescent="0.25">
      <c r="A2636">
        <v>6827699</v>
      </c>
      <c r="B2636" t="s">
        <v>10153</v>
      </c>
      <c r="C2636" t="str">
        <f>"9783030842802"</f>
        <v>9783030842802</v>
      </c>
      <c r="D2636" t="str">
        <f>"9783030842819"</f>
        <v>9783030842819</v>
      </c>
      <c r="E2636" t="s">
        <v>2905</v>
      </c>
      <c r="F2636" s="1">
        <v>44537</v>
      </c>
      <c r="G2636" t="s">
        <v>10154</v>
      </c>
      <c r="H2636" t="s">
        <v>743</v>
      </c>
      <c r="I2636" t="s">
        <v>10155</v>
      </c>
      <c r="J2636">
        <v>363.35093999999998</v>
      </c>
      <c r="L2636" t="s">
        <v>20</v>
      </c>
      <c r="M2636" t="s">
        <v>10156</v>
      </c>
    </row>
    <row r="2637" spans="1:13" x14ac:dyDescent="0.25">
      <c r="A2637">
        <v>6827705</v>
      </c>
      <c r="B2637" t="s">
        <v>10157</v>
      </c>
      <c r="C2637" t="str">
        <f>"9783030842475"</f>
        <v>9783030842475</v>
      </c>
      <c r="D2637" t="str">
        <f>"9783030842482"</f>
        <v>9783030842482</v>
      </c>
      <c r="E2637" t="s">
        <v>2905</v>
      </c>
      <c r="F2637" s="1">
        <v>44532</v>
      </c>
      <c r="G2637" t="s">
        <v>10158</v>
      </c>
      <c r="H2637" t="s">
        <v>83</v>
      </c>
      <c r="I2637" t="s">
        <v>8873</v>
      </c>
      <c r="L2637" t="s">
        <v>20</v>
      </c>
      <c r="M2637" t="s">
        <v>10159</v>
      </c>
    </row>
    <row r="2638" spans="1:13" x14ac:dyDescent="0.25">
      <c r="A2638">
        <v>6827706</v>
      </c>
      <c r="B2638" t="s">
        <v>10160</v>
      </c>
      <c r="C2638" t="str">
        <f>"9783662644072"</f>
        <v>9783662644072</v>
      </c>
      <c r="D2638" t="str">
        <f>"9783662644089"</f>
        <v>9783662644089</v>
      </c>
      <c r="E2638" t="s">
        <v>4540</v>
      </c>
      <c r="F2638" s="1">
        <v>44532</v>
      </c>
      <c r="G2638" t="s">
        <v>5093</v>
      </c>
      <c r="H2638" t="s">
        <v>1328</v>
      </c>
      <c r="I2638" t="s">
        <v>5167</v>
      </c>
      <c r="L2638" t="s">
        <v>291</v>
      </c>
      <c r="M2638" t="s">
        <v>10161</v>
      </c>
    </row>
    <row r="2639" spans="1:13" x14ac:dyDescent="0.25">
      <c r="A2639">
        <v>6827718</v>
      </c>
      <c r="B2639" t="s">
        <v>10162</v>
      </c>
      <c r="C2639" t="str">
        <f>"9789813349711"</f>
        <v>9789813349711</v>
      </c>
      <c r="D2639" t="str">
        <f>"9789813349728"</f>
        <v>9789813349728</v>
      </c>
      <c r="E2639" t="s">
        <v>4099</v>
      </c>
      <c r="F2639" s="1">
        <v>44534</v>
      </c>
      <c r="G2639" t="s">
        <v>10163</v>
      </c>
      <c r="H2639" t="s">
        <v>1753</v>
      </c>
      <c r="I2639" t="s">
        <v>4474</v>
      </c>
      <c r="L2639" t="s">
        <v>20</v>
      </c>
      <c r="M2639" t="s">
        <v>10164</v>
      </c>
    </row>
    <row r="2640" spans="1:13" x14ac:dyDescent="0.25">
      <c r="A2640">
        <v>6827720</v>
      </c>
      <c r="B2640" t="s">
        <v>10165</v>
      </c>
      <c r="C2640" t="str">
        <f>"9783030886615"</f>
        <v>9783030886615</v>
      </c>
      <c r="D2640" t="str">
        <f>"9783030886622"</f>
        <v>9783030886622</v>
      </c>
      <c r="E2640" t="s">
        <v>2905</v>
      </c>
      <c r="F2640" s="1">
        <v>44533</v>
      </c>
      <c r="G2640" t="s">
        <v>10166</v>
      </c>
      <c r="H2640" t="s">
        <v>1753</v>
      </c>
      <c r="I2640" t="s">
        <v>10167</v>
      </c>
      <c r="L2640" t="s">
        <v>20</v>
      </c>
      <c r="M2640" t="s">
        <v>10168</v>
      </c>
    </row>
    <row r="2641" spans="1:13" x14ac:dyDescent="0.25">
      <c r="A2641">
        <v>6827725</v>
      </c>
      <c r="B2641" t="s">
        <v>10169</v>
      </c>
      <c r="C2641" t="str">
        <f>"9783030835811"</f>
        <v>9783030835811</v>
      </c>
      <c r="D2641" t="str">
        <f>"9783030835828"</f>
        <v>9783030835828</v>
      </c>
      <c r="E2641" t="s">
        <v>2905</v>
      </c>
      <c r="F2641" s="1">
        <v>44533</v>
      </c>
      <c r="G2641" t="s">
        <v>10170</v>
      </c>
      <c r="H2641" t="s">
        <v>310</v>
      </c>
      <c r="I2641" t="s">
        <v>10171</v>
      </c>
      <c r="J2641">
        <v>297.08199999999999</v>
      </c>
      <c r="L2641" t="s">
        <v>20</v>
      </c>
      <c r="M2641" t="s">
        <v>10172</v>
      </c>
    </row>
    <row r="2642" spans="1:13" x14ac:dyDescent="0.25">
      <c r="A2642">
        <v>6827730</v>
      </c>
      <c r="B2642" t="s">
        <v>10173</v>
      </c>
      <c r="C2642" t="str">
        <f>"9783030912710"</f>
        <v>9783030912710</v>
      </c>
      <c r="D2642" t="str">
        <f>"9783030912727"</f>
        <v>9783030912727</v>
      </c>
      <c r="E2642" t="s">
        <v>2905</v>
      </c>
      <c r="F2642" s="1">
        <v>44537</v>
      </c>
      <c r="G2642" t="s">
        <v>10174</v>
      </c>
      <c r="H2642" t="s">
        <v>5726</v>
      </c>
      <c r="I2642" t="s">
        <v>5501</v>
      </c>
      <c r="J2642">
        <v>302.23099999999999</v>
      </c>
      <c r="L2642" t="s">
        <v>20</v>
      </c>
      <c r="M2642" t="s">
        <v>10175</v>
      </c>
    </row>
    <row r="2643" spans="1:13" x14ac:dyDescent="0.25">
      <c r="A2643">
        <v>6827731</v>
      </c>
      <c r="B2643" t="s">
        <v>10176</v>
      </c>
      <c r="C2643" t="str">
        <f>"9783030785963"</f>
        <v>9783030785963</v>
      </c>
      <c r="D2643" t="str">
        <f>"9783030785970"</f>
        <v>9783030785970</v>
      </c>
      <c r="E2643" t="s">
        <v>2905</v>
      </c>
      <c r="F2643" s="1">
        <v>44533</v>
      </c>
      <c r="G2643" t="s">
        <v>10177</v>
      </c>
      <c r="H2643" t="s">
        <v>4451</v>
      </c>
      <c r="I2643" t="s">
        <v>4239</v>
      </c>
      <c r="L2643" t="s">
        <v>20</v>
      </c>
      <c r="M2643" t="s">
        <v>10178</v>
      </c>
    </row>
    <row r="2644" spans="1:13" x14ac:dyDescent="0.25">
      <c r="A2644">
        <v>6828233</v>
      </c>
      <c r="B2644" t="s">
        <v>10179</v>
      </c>
      <c r="C2644" t="str">
        <f>""</f>
        <v/>
      </c>
      <c r="D2644" t="str">
        <f>"9782759234684"</f>
        <v>9782759234684</v>
      </c>
      <c r="E2644" t="s">
        <v>2434</v>
      </c>
      <c r="F2644" s="1">
        <v>44547</v>
      </c>
      <c r="G2644" t="s">
        <v>10180</v>
      </c>
      <c r="H2644" t="s">
        <v>4161</v>
      </c>
      <c r="L2644" t="s">
        <v>20</v>
      </c>
      <c r="M2644" t="s">
        <v>10181</v>
      </c>
    </row>
    <row r="2645" spans="1:13" x14ac:dyDescent="0.25">
      <c r="A2645">
        <v>6828248</v>
      </c>
      <c r="B2645" t="s">
        <v>10182</v>
      </c>
      <c r="C2645" t="str">
        <f>"9783030844509"</f>
        <v>9783030844509</v>
      </c>
      <c r="D2645" t="str">
        <f>"9783030844516"</f>
        <v>9783030844516</v>
      </c>
      <c r="E2645" t="s">
        <v>2905</v>
      </c>
      <c r="F2645" s="1">
        <v>44547</v>
      </c>
      <c r="G2645" t="s">
        <v>10183</v>
      </c>
      <c r="H2645" t="s">
        <v>64</v>
      </c>
      <c r="I2645" t="s">
        <v>10184</v>
      </c>
      <c r="J2645">
        <v>305.42094700000001</v>
      </c>
      <c r="L2645" t="s">
        <v>20</v>
      </c>
      <c r="M2645" t="s">
        <v>10185</v>
      </c>
    </row>
    <row r="2646" spans="1:13" x14ac:dyDescent="0.25">
      <c r="A2646">
        <v>6828249</v>
      </c>
      <c r="B2646" t="s">
        <v>10186</v>
      </c>
      <c r="C2646" t="str">
        <f>"9783030790530"</f>
        <v>9783030790530</v>
      </c>
      <c r="D2646" t="str">
        <f>"9783030790547"</f>
        <v>9783030790547</v>
      </c>
      <c r="E2646" t="s">
        <v>2905</v>
      </c>
      <c r="F2646" s="1">
        <v>44547</v>
      </c>
      <c r="G2646" t="s">
        <v>10187</v>
      </c>
      <c r="H2646" t="s">
        <v>30</v>
      </c>
      <c r="I2646" t="s">
        <v>5690</v>
      </c>
      <c r="J2646">
        <v>320.94</v>
      </c>
      <c r="L2646" t="s">
        <v>20</v>
      </c>
      <c r="M2646" t="s">
        <v>10188</v>
      </c>
    </row>
    <row r="2647" spans="1:13" x14ac:dyDescent="0.25">
      <c r="A2647">
        <v>6837544</v>
      </c>
      <c r="B2647" t="s">
        <v>10189</v>
      </c>
      <c r="C2647" t="str">
        <f>"9789633864395"</f>
        <v>9789633864395</v>
      </c>
      <c r="D2647" t="str">
        <f>"9789633864401"</f>
        <v>9789633864401</v>
      </c>
      <c r="E2647" t="s">
        <v>2263</v>
      </c>
      <c r="F2647" s="1">
        <v>44571</v>
      </c>
      <c r="G2647" t="s">
        <v>10190</v>
      </c>
      <c r="H2647" t="s">
        <v>64</v>
      </c>
      <c r="L2647" t="s">
        <v>20</v>
      </c>
      <c r="M2647" t="s">
        <v>10191</v>
      </c>
    </row>
    <row r="2648" spans="1:13" x14ac:dyDescent="0.25">
      <c r="A2648">
        <v>6838564</v>
      </c>
      <c r="B2648" t="s">
        <v>10192</v>
      </c>
      <c r="C2648" t="str">
        <f>"9783658360375"</f>
        <v>9783658360375</v>
      </c>
      <c r="D2648" t="str">
        <f>"9783658360382"</f>
        <v>9783658360382</v>
      </c>
      <c r="E2648" t="s">
        <v>4472</v>
      </c>
      <c r="F2648" s="1">
        <v>44551</v>
      </c>
      <c r="G2648" t="s">
        <v>10193</v>
      </c>
      <c r="H2648" t="s">
        <v>363</v>
      </c>
      <c r="I2648" t="s">
        <v>4507</v>
      </c>
      <c r="L2648" t="s">
        <v>291</v>
      </c>
      <c r="M2648" t="s">
        <v>10194</v>
      </c>
    </row>
    <row r="2649" spans="1:13" x14ac:dyDescent="0.25">
      <c r="A2649">
        <v>6838608</v>
      </c>
      <c r="B2649" t="s">
        <v>10195</v>
      </c>
      <c r="C2649" t="str">
        <f>"9783030840433"</f>
        <v>9783030840433</v>
      </c>
      <c r="D2649" t="str">
        <f>"9783030840440"</f>
        <v>9783030840440</v>
      </c>
      <c r="E2649" t="s">
        <v>2905</v>
      </c>
      <c r="F2649" s="1">
        <v>44551</v>
      </c>
      <c r="G2649" t="s">
        <v>10196</v>
      </c>
      <c r="H2649" t="s">
        <v>1753</v>
      </c>
      <c r="I2649" t="s">
        <v>10197</v>
      </c>
      <c r="L2649" t="s">
        <v>20</v>
      </c>
      <c r="M2649" t="s">
        <v>10198</v>
      </c>
    </row>
    <row r="2650" spans="1:13" x14ac:dyDescent="0.25">
      <c r="A2650">
        <v>6838610</v>
      </c>
      <c r="B2650" t="s">
        <v>5387</v>
      </c>
      <c r="C2650" t="str">
        <f>"9783030795146"</f>
        <v>9783030795146</v>
      </c>
      <c r="D2650" t="str">
        <f>"9783030795153"</f>
        <v>9783030795153</v>
      </c>
      <c r="E2650" t="s">
        <v>2905</v>
      </c>
      <c r="F2650" s="1">
        <v>44551</v>
      </c>
      <c r="G2650" t="s">
        <v>10199</v>
      </c>
      <c r="H2650" t="s">
        <v>2652</v>
      </c>
      <c r="I2650" t="s">
        <v>5389</v>
      </c>
      <c r="J2650">
        <v>616.89</v>
      </c>
      <c r="L2650" t="s">
        <v>20</v>
      </c>
      <c r="M2650" t="s">
        <v>10200</v>
      </c>
    </row>
    <row r="2651" spans="1:13" x14ac:dyDescent="0.25">
      <c r="A2651">
        <v>6838640</v>
      </c>
      <c r="B2651" t="s">
        <v>10201</v>
      </c>
      <c r="C2651" t="str">
        <f>"9783658357634"</f>
        <v>9783658357634</v>
      </c>
      <c r="D2651" t="str">
        <f>"9783658357641"</f>
        <v>9783658357641</v>
      </c>
      <c r="E2651" t="s">
        <v>4472</v>
      </c>
      <c r="F2651" s="1">
        <v>44553</v>
      </c>
      <c r="G2651" t="s">
        <v>10202</v>
      </c>
      <c r="H2651" t="s">
        <v>64</v>
      </c>
      <c r="I2651" t="s">
        <v>6524</v>
      </c>
      <c r="L2651" t="s">
        <v>291</v>
      </c>
      <c r="M2651" t="s">
        <v>10203</v>
      </c>
    </row>
    <row r="2652" spans="1:13" x14ac:dyDescent="0.25">
      <c r="A2652">
        <v>6838680</v>
      </c>
      <c r="B2652" t="s">
        <v>10204</v>
      </c>
      <c r="C2652" t="str">
        <f>"9783030773625"</f>
        <v>9783030773625</v>
      </c>
      <c r="D2652" t="str">
        <f>"9783030773632"</f>
        <v>9783030773632</v>
      </c>
      <c r="E2652" t="s">
        <v>2905</v>
      </c>
      <c r="F2652" s="1">
        <v>44552</v>
      </c>
      <c r="G2652" t="s">
        <v>10205</v>
      </c>
      <c r="H2652" t="s">
        <v>16</v>
      </c>
      <c r="I2652" t="s">
        <v>4080</v>
      </c>
      <c r="L2652" t="s">
        <v>20</v>
      </c>
      <c r="M2652" t="s">
        <v>10206</v>
      </c>
    </row>
    <row r="2653" spans="1:13" x14ac:dyDescent="0.25">
      <c r="A2653">
        <v>6838723</v>
      </c>
      <c r="B2653" t="s">
        <v>6790</v>
      </c>
      <c r="C2653" t="str">
        <f>"9783030859176"</f>
        <v>9783030859176</v>
      </c>
      <c r="D2653" t="str">
        <f>"9783030859183"</f>
        <v>9783030859183</v>
      </c>
      <c r="E2653" t="s">
        <v>2905</v>
      </c>
      <c r="F2653" s="1">
        <v>44549</v>
      </c>
      <c r="G2653" t="s">
        <v>10207</v>
      </c>
      <c r="H2653" t="s">
        <v>5453</v>
      </c>
      <c r="I2653" t="s">
        <v>10208</v>
      </c>
      <c r="L2653" t="s">
        <v>20</v>
      </c>
      <c r="M2653" t="s">
        <v>10209</v>
      </c>
    </row>
    <row r="2654" spans="1:13" x14ac:dyDescent="0.25">
      <c r="A2654">
        <v>6838776</v>
      </c>
      <c r="B2654" t="s">
        <v>10210</v>
      </c>
      <c r="C2654" t="str">
        <f>"9783030837792"</f>
        <v>9783030837792</v>
      </c>
      <c r="D2654" t="str">
        <f>"9783030837808"</f>
        <v>9783030837808</v>
      </c>
      <c r="E2654" t="s">
        <v>2905</v>
      </c>
      <c r="F2654" s="1">
        <v>44548</v>
      </c>
      <c r="G2654" t="s">
        <v>10211</v>
      </c>
      <c r="H2654" t="s">
        <v>1753</v>
      </c>
      <c r="I2654" t="s">
        <v>4474</v>
      </c>
      <c r="J2654">
        <v>658.40120000000002</v>
      </c>
      <c r="L2654" t="s">
        <v>20</v>
      </c>
      <c r="M2654" t="s">
        <v>10212</v>
      </c>
    </row>
    <row r="2655" spans="1:13" x14ac:dyDescent="0.25">
      <c r="A2655">
        <v>6838799</v>
      </c>
      <c r="B2655" t="s">
        <v>10213</v>
      </c>
      <c r="C2655" t="str">
        <f>"9783662633250"</f>
        <v>9783662633250</v>
      </c>
      <c r="D2655" t="str">
        <f>"9783662633267"</f>
        <v>9783662633267</v>
      </c>
      <c r="E2655" t="s">
        <v>4540</v>
      </c>
      <c r="F2655" s="1">
        <v>44591</v>
      </c>
      <c r="G2655" t="s">
        <v>10214</v>
      </c>
      <c r="H2655" t="s">
        <v>266</v>
      </c>
      <c r="I2655" t="s">
        <v>10215</v>
      </c>
      <c r="L2655" t="s">
        <v>20</v>
      </c>
      <c r="M2655" t="s">
        <v>10216</v>
      </c>
    </row>
    <row r="2656" spans="1:13" x14ac:dyDescent="0.25">
      <c r="A2656">
        <v>6838834</v>
      </c>
      <c r="B2656" t="s">
        <v>10217</v>
      </c>
      <c r="C2656" t="str">
        <f>"9789811668104"</f>
        <v>9789811668104</v>
      </c>
      <c r="D2656" t="str">
        <f>"9789811668111"</f>
        <v>9789811668111</v>
      </c>
      <c r="E2656" t="s">
        <v>4099</v>
      </c>
      <c r="F2656" s="1">
        <v>44560</v>
      </c>
      <c r="G2656" t="s">
        <v>10218</v>
      </c>
      <c r="H2656" t="s">
        <v>30</v>
      </c>
      <c r="I2656" t="s">
        <v>6546</v>
      </c>
      <c r="L2656" t="s">
        <v>20</v>
      </c>
      <c r="M2656" t="s">
        <v>10219</v>
      </c>
    </row>
    <row r="2657" spans="1:13" x14ac:dyDescent="0.25">
      <c r="A2657">
        <v>6838904</v>
      </c>
      <c r="B2657" t="s">
        <v>10220</v>
      </c>
      <c r="C2657" t="str">
        <f>"9783658346973"</f>
        <v>9783658346973</v>
      </c>
      <c r="D2657" t="str">
        <f>"9783658346980"</f>
        <v>9783658346980</v>
      </c>
      <c r="E2657" t="s">
        <v>4472</v>
      </c>
      <c r="F2657" s="1">
        <v>44552</v>
      </c>
      <c r="G2657" t="s">
        <v>10221</v>
      </c>
      <c r="H2657" t="s">
        <v>363</v>
      </c>
      <c r="I2657" t="s">
        <v>10222</v>
      </c>
      <c r="L2657" t="s">
        <v>291</v>
      </c>
      <c r="M2657" t="s">
        <v>10223</v>
      </c>
    </row>
    <row r="2658" spans="1:13" x14ac:dyDescent="0.25">
      <c r="A2658">
        <v>6838905</v>
      </c>
      <c r="B2658" t="s">
        <v>10224</v>
      </c>
      <c r="C2658" t="str">
        <f>"9789811649103"</f>
        <v>9789811649103</v>
      </c>
      <c r="D2658" t="str">
        <f>"9789811649110"</f>
        <v>9789811649110</v>
      </c>
      <c r="E2658" t="s">
        <v>4099</v>
      </c>
      <c r="F2658" s="1">
        <v>44551</v>
      </c>
      <c r="G2658" t="s">
        <v>10225</v>
      </c>
      <c r="H2658" t="s">
        <v>2293</v>
      </c>
      <c r="I2658" t="s">
        <v>4239</v>
      </c>
      <c r="J2658">
        <v>1.2014</v>
      </c>
      <c r="L2658" t="s">
        <v>20</v>
      </c>
      <c r="M2658" t="s">
        <v>10226</v>
      </c>
    </row>
    <row r="2659" spans="1:13" x14ac:dyDescent="0.25">
      <c r="A2659">
        <v>6838935</v>
      </c>
      <c r="B2659" t="s">
        <v>10227</v>
      </c>
      <c r="C2659" t="str">
        <f>"9789813342675"</f>
        <v>9789813342675</v>
      </c>
      <c r="D2659" t="str">
        <f>"9789813342682"</f>
        <v>9789813342682</v>
      </c>
      <c r="E2659" t="s">
        <v>4099</v>
      </c>
      <c r="F2659" s="1">
        <v>44549</v>
      </c>
      <c r="G2659" t="s">
        <v>10228</v>
      </c>
      <c r="H2659" t="s">
        <v>1283</v>
      </c>
      <c r="I2659" t="s">
        <v>5683</v>
      </c>
      <c r="L2659" t="s">
        <v>20</v>
      </c>
      <c r="M2659" t="s">
        <v>10229</v>
      </c>
    </row>
    <row r="2660" spans="1:13" x14ac:dyDescent="0.25">
      <c r="A2660">
        <v>6838944</v>
      </c>
      <c r="B2660" t="s">
        <v>10230</v>
      </c>
      <c r="C2660" t="str">
        <f>"9783030740313"</f>
        <v>9783030740313</v>
      </c>
      <c r="D2660" t="str">
        <f>"9783030740320"</f>
        <v>9783030740320</v>
      </c>
      <c r="E2660" t="s">
        <v>2905</v>
      </c>
      <c r="F2660" s="1">
        <v>44550</v>
      </c>
      <c r="G2660" t="s">
        <v>10231</v>
      </c>
      <c r="H2660" t="s">
        <v>5094</v>
      </c>
      <c r="I2660" t="s">
        <v>10232</v>
      </c>
      <c r="L2660" t="s">
        <v>20</v>
      </c>
      <c r="M2660" t="s">
        <v>10233</v>
      </c>
    </row>
    <row r="2661" spans="1:13" x14ac:dyDescent="0.25">
      <c r="A2661">
        <v>6838959</v>
      </c>
      <c r="B2661" t="s">
        <v>10234</v>
      </c>
      <c r="C2661" t="str">
        <f>"9789811647987"</f>
        <v>9789811647987</v>
      </c>
      <c r="D2661" t="str">
        <f>"9789811647994"</f>
        <v>9789811647994</v>
      </c>
      <c r="E2661" t="s">
        <v>4099</v>
      </c>
      <c r="F2661" s="1">
        <v>44552</v>
      </c>
      <c r="G2661" t="s">
        <v>10235</v>
      </c>
      <c r="H2661" t="s">
        <v>83</v>
      </c>
      <c r="I2661" t="s">
        <v>8873</v>
      </c>
      <c r="L2661" t="s">
        <v>20</v>
      </c>
      <c r="M2661" t="s">
        <v>10236</v>
      </c>
    </row>
    <row r="2662" spans="1:13" x14ac:dyDescent="0.25">
      <c r="A2662">
        <v>6840130</v>
      </c>
      <c r="B2662" t="s">
        <v>10237</v>
      </c>
      <c r="C2662" t="str">
        <f>"9783030846466"</f>
        <v>9783030846466</v>
      </c>
      <c r="D2662" t="str">
        <f>"9783030846473"</f>
        <v>9783030846473</v>
      </c>
      <c r="E2662" t="s">
        <v>2905</v>
      </c>
      <c r="F2662" s="1">
        <v>44603</v>
      </c>
      <c r="G2662" t="s">
        <v>10238</v>
      </c>
      <c r="H2662" t="s">
        <v>363</v>
      </c>
      <c r="I2662" t="s">
        <v>4507</v>
      </c>
      <c r="L2662" t="s">
        <v>20</v>
      </c>
      <c r="M2662" t="s">
        <v>10239</v>
      </c>
    </row>
    <row r="2663" spans="1:13" x14ac:dyDescent="0.25">
      <c r="A2663">
        <v>6840137</v>
      </c>
      <c r="B2663" t="s">
        <v>10240</v>
      </c>
      <c r="C2663" t="str">
        <f>"9783030752620"</f>
        <v>9783030752620</v>
      </c>
      <c r="D2663" t="str">
        <f>"9783030752637"</f>
        <v>9783030752637</v>
      </c>
      <c r="E2663" t="s">
        <v>2905</v>
      </c>
      <c r="F2663" s="1">
        <v>44596</v>
      </c>
      <c r="G2663" t="s">
        <v>10241</v>
      </c>
      <c r="H2663" t="s">
        <v>363</v>
      </c>
      <c r="I2663" t="s">
        <v>4529</v>
      </c>
      <c r="L2663" t="s">
        <v>20</v>
      </c>
      <c r="M2663" t="s">
        <v>10242</v>
      </c>
    </row>
    <row r="2664" spans="1:13" x14ac:dyDescent="0.25">
      <c r="A2664">
        <v>6840154</v>
      </c>
      <c r="B2664" t="s">
        <v>10243</v>
      </c>
      <c r="C2664" t="str">
        <f>"9783030784393"</f>
        <v>9783030784393</v>
      </c>
      <c r="D2664" t="str">
        <f>"9783030784409"</f>
        <v>9783030784409</v>
      </c>
      <c r="E2664" t="s">
        <v>2905</v>
      </c>
      <c r="F2664" s="1">
        <v>44565</v>
      </c>
      <c r="G2664" t="s">
        <v>10244</v>
      </c>
      <c r="H2664" t="s">
        <v>70</v>
      </c>
      <c r="I2664" t="s">
        <v>8749</v>
      </c>
      <c r="J2664">
        <v>809.38199999999995</v>
      </c>
      <c r="L2664" t="s">
        <v>20</v>
      </c>
      <c r="M2664" t="s">
        <v>10245</v>
      </c>
    </row>
    <row r="2665" spans="1:13" x14ac:dyDescent="0.25">
      <c r="A2665">
        <v>6840160</v>
      </c>
      <c r="B2665" t="s">
        <v>10246</v>
      </c>
      <c r="C2665" t="str">
        <f>"9789811680434"</f>
        <v>9789811680434</v>
      </c>
      <c r="D2665" t="str">
        <f>"9789811680441"</f>
        <v>9789811680441</v>
      </c>
      <c r="E2665" t="s">
        <v>2906</v>
      </c>
      <c r="F2665" s="1">
        <v>44565</v>
      </c>
      <c r="G2665" t="s">
        <v>10247</v>
      </c>
      <c r="H2665" t="s">
        <v>4465</v>
      </c>
      <c r="I2665" t="s">
        <v>10248</v>
      </c>
      <c r="J2665">
        <v>629.89</v>
      </c>
      <c r="L2665" t="s">
        <v>20</v>
      </c>
      <c r="M2665" t="s">
        <v>10249</v>
      </c>
    </row>
    <row r="2666" spans="1:13" x14ac:dyDescent="0.25">
      <c r="A2666">
        <v>6841090</v>
      </c>
      <c r="B2666" t="s">
        <v>10250</v>
      </c>
      <c r="C2666" t="str">
        <f>"9783030853211"</f>
        <v>9783030853211</v>
      </c>
      <c r="D2666" t="str">
        <f>"9783030853228"</f>
        <v>9783030853228</v>
      </c>
      <c r="E2666" t="s">
        <v>2905</v>
      </c>
      <c r="F2666" s="1">
        <v>44592</v>
      </c>
      <c r="G2666" t="s">
        <v>10251</v>
      </c>
      <c r="H2666" t="s">
        <v>83</v>
      </c>
      <c r="I2666" t="s">
        <v>5154</v>
      </c>
      <c r="L2666" t="s">
        <v>20</v>
      </c>
      <c r="M2666" t="s">
        <v>10252</v>
      </c>
    </row>
    <row r="2667" spans="1:13" x14ac:dyDescent="0.25">
      <c r="A2667">
        <v>6845970</v>
      </c>
      <c r="B2667" t="s">
        <v>10253</v>
      </c>
      <c r="C2667" t="str">
        <f>"9783030947507"</f>
        <v>9783030947507</v>
      </c>
      <c r="D2667" t="str">
        <f>"9783030947514"</f>
        <v>9783030947514</v>
      </c>
      <c r="E2667" t="s">
        <v>2905</v>
      </c>
      <c r="F2667" s="1">
        <v>44603</v>
      </c>
      <c r="G2667" t="s">
        <v>10254</v>
      </c>
      <c r="H2667" t="s">
        <v>6615</v>
      </c>
      <c r="I2667" t="s">
        <v>6616</v>
      </c>
      <c r="L2667" t="s">
        <v>20</v>
      </c>
      <c r="M2667" t="s">
        <v>10255</v>
      </c>
    </row>
    <row r="2668" spans="1:13" x14ac:dyDescent="0.25">
      <c r="A2668">
        <v>6845974</v>
      </c>
      <c r="B2668" t="s">
        <v>10256</v>
      </c>
      <c r="C2668" t="str">
        <f>"9783030678173"</f>
        <v>9783030678173</v>
      </c>
      <c r="D2668" t="str">
        <f>"9783030678180"</f>
        <v>9783030678180</v>
      </c>
      <c r="E2668" t="s">
        <v>2905</v>
      </c>
      <c r="F2668" s="1">
        <v>44608</v>
      </c>
      <c r="G2668" t="s">
        <v>10257</v>
      </c>
      <c r="H2668" t="s">
        <v>120</v>
      </c>
      <c r="I2668" t="s">
        <v>4102</v>
      </c>
      <c r="J2668">
        <v>351</v>
      </c>
      <c r="L2668" t="s">
        <v>20</v>
      </c>
      <c r="M2668" t="s">
        <v>10258</v>
      </c>
    </row>
    <row r="2669" spans="1:13" x14ac:dyDescent="0.25">
      <c r="A2669">
        <v>6845980</v>
      </c>
      <c r="B2669" t="s">
        <v>10259</v>
      </c>
      <c r="C2669" t="str">
        <f>"9783030701307"</f>
        <v>9783030701307</v>
      </c>
      <c r="D2669" t="str">
        <f>"9783030701314"</f>
        <v>9783030701314</v>
      </c>
      <c r="E2669" t="s">
        <v>2905</v>
      </c>
      <c r="F2669" s="1">
        <v>44569</v>
      </c>
      <c r="G2669" t="s">
        <v>10260</v>
      </c>
      <c r="H2669" t="s">
        <v>1229</v>
      </c>
      <c r="I2669" t="s">
        <v>10155</v>
      </c>
      <c r="J2669">
        <v>909.09712410600002</v>
      </c>
      <c r="L2669" t="s">
        <v>20</v>
      </c>
      <c r="M2669" t="s">
        <v>10261</v>
      </c>
    </row>
    <row r="2670" spans="1:13" x14ac:dyDescent="0.25">
      <c r="A2670">
        <v>6846445</v>
      </c>
      <c r="B2670" t="s">
        <v>10262</v>
      </c>
      <c r="C2670" t="str">
        <f>"9789633863800"</f>
        <v>9789633863800</v>
      </c>
      <c r="D2670" t="str">
        <f>"9789633863817"</f>
        <v>9789633863817</v>
      </c>
      <c r="E2670" t="s">
        <v>2263</v>
      </c>
      <c r="F2670" s="1">
        <v>44607</v>
      </c>
      <c r="G2670" t="s">
        <v>10263</v>
      </c>
      <c r="H2670" t="s">
        <v>139</v>
      </c>
      <c r="L2670" t="s">
        <v>20</v>
      </c>
      <c r="M2670" t="s">
        <v>10264</v>
      </c>
    </row>
    <row r="2671" spans="1:13" x14ac:dyDescent="0.25">
      <c r="A2671">
        <v>6846891</v>
      </c>
      <c r="B2671" t="s">
        <v>10265</v>
      </c>
      <c r="C2671" t="str">
        <f>"9780472038916"</f>
        <v>9780472038916</v>
      </c>
      <c r="D2671" t="str">
        <f>"9780472902644"</f>
        <v>9780472902644</v>
      </c>
      <c r="E2671" t="s">
        <v>6708</v>
      </c>
      <c r="F2671" s="1">
        <v>44650</v>
      </c>
      <c r="G2671" t="s">
        <v>10266</v>
      </c>
      <c r="H2671" t="s">
        <v>30</v>
      </c>
      <c r="J2671">
        <v>323.44309730904502</v>
      </c>
      <c r="L2671" t="s">
        <v>20</v>
      </c>
      <c r="M2671" t="s">
        <v>10267</v>
      </c>
    </row>
    <row r="2672" spans="1:13" x14ac:dyDescent="0.25">
      <c r="A2672">
        <v>6850455</v>
      </c>
      <c r="B2672" t="s">
        <v>10268</v>
      </c>
      <c r="C2672" t="str">
        <f>"9783658364106"</f>
        <v>9783658364106</v>
      </c>
      <c r="D2672" t="str">
        <f>"9783658364113"</f>
        <v>9783658364113</v>
      </c>
      <c r="E2672" t="s">
        <v>4472</v>
      </c>
      <c r="F2672" s="1">
        <v>44601</v>
      </c>
      <c r="G2672" t="s">
        <v>10269</v>
      </c>
      <c r="H2672" t="s">
        <v>1753</v>
      </c>
      <c r="I2672" t="s">
        <v>10270</v>
      </c>
      <c r="L2672" t="s">
        <v>291</v>
      </c>
      <c r="M2672" t="s">
        <v>10271</v>
      </c>
    </row>
    <row r="2673" spans="1:13" x14ac:dyDescent="0.25">
      <c r="A2673">
        <v>6850469</v>
      </c>
      <c r="B2673" t="s">
        <v>10272</v>
      </c>
      <c r="C2673" t="str">
        <f>"9783030780623"</f>
        <v>9783030780623</v>
      </c>
      <c r="D2673" t="str">
        <f>"9783030780630"</f>
        <v>9783030780630</v>
      </c>
      <c r="E2673" t="s">
        <v>2905</v>
      </c>
      <c r="F2673" s="1">
        <v>44596</v>
      </c>
      <c r="G2673" t="s">
        <v>10273</v>
      </c>
      <c r="H2673" t="s">
        <v>1753</v>
      </c>
      <c r="I2673" t="s">
        <v>8307</v>
      </c>
      <c r="L2673" t="s">
        <v>20</v>
      </c>
      <c r="M2673" t="s">
        <v>10274</v>
      </c>
    </row>
    <row r="2674" spans="1:13" x14ac:dyDescent="0.25">
      <c r="A2674">
        <v>6850554</v>
      </c>
      <c r="B2674" t="s">
        <v>10275</v>
      </c>
      <c r="C2674" t="str">
        <f>"9781800642676"</f>
        <v>9781800642676</v>
      </c>
      <c r="D2674" t="str">
        <f>"9781800642683"</f>
        <v>9781800642683</v>
      </c>
      <c r="E2674" t="s">
        <v>2270</v>
      </c>
      <c r="F2674" s="1">
        <v>44545</v>
      </c>
      <c r="G2674" t="s">
        <v>10276</v>
      </c>
      <c r="H2674" t="s">
        <v>10277</v>
      </c>
      <c r="L2674" t="s">
        <v>20</v>
      </c>
      <c r="M2674" t="s">
        <v>10278</v>
      </c>
    </row>
    <row r="2675" spans="1:13" x14ac:dyDescent="0.25">
      <c r="A2675">
        <v>6850555</v>
      </c>
      <c r="B2675" t="s">
        <v>10279</v>
      </c>
      <c r="C2675" t="str">
        <f>"9781800642973"</f>
        <v>9781800642973</v>
      </c>
      <c r="D2675" t="str">
        <f>"9781800642980"</f>
        <v>9781800642980</v>
      </c>
      <c r="E2675" t="s">
        <v>2270</v>
      </c>
      <c r="F2675" s="1">
        <v>44536</v>
      </c>
      <c r="G2675" t="s">
        <v>10280</v>
      </c>
      <c r="H2675" t="s">
        <v>4330</v>
      </c>
      <c r="L2675" t="s">
        <v>20</v>
      </c>
      <c r="M2675" t="s">
        <v>10281</v>
      </c>
    </row>
    <row r="2676" spans="1:13" x14ac:dyDescent="0.25">
      <c r="A2676">
        <v>6850556</v>
      </c>
      <c r="B2676" t="s">
        <v>10282</v>
      </c>
      <c r="C2676" t="str">
        <f>"9781800643215"</f>
        <v>9781800643215</v>
      </c>
      <c r="D2676" t="str">
        <f>"9781800643222"</f>
        <v>9781800643222</v>
      </c>
      <c r="E2676" t="s">
        <v>2270</v>
      </c>
      <c r="F2676" s="1">
        <v>44545</v>
      </c>
      <c r="G2676" t="s">
        <v>10283</v>
      </c>
      <c r="H2676" t="s">
        <v>70</v>
      </c>
      <c r="L2676" t="s">
        <v>20</v>
      </c>
      <c r="M2676" t="s">
        <v>10284</v>
      </c>
    </row>
    <row r="2677" spans="1:13" x14ac:dyDescent="0.25">
      <c r="A2677">
        <v>6852152</v>
      </c>
      <c r="B2677" t="s">
        <v>10285</v>
      </c>
      <c r="C2677" t="str">
        <f>"9783030845131"</f>
        <v>9783030845131</v>
      </c>
      <c r="D2677" t="str">
        <f>"9783030845148"</f>
        <v>9783030845148</v>
      </c>
      <c r="E2677" t="s">
        <v>2905</v>
      </c>
      <c r="F2677" s="1">
        <v>44573</v>
      </c>
      <c r="G2677" t="s">
        <v>10286</v>
      </c>
      <c r="H2677" t="s">
        <v>64</v>
      </c>
      <c r="I2677" t="s">
        <v>10287</v>
      </c>
      <c r="L2677" t="s">
        <v>20</v>
      </c>
      <c r="M2677" t="s">
        <v>10288</v>
      </c>
    </row>
    <row r="2678" spans="1:13" x14ac:dyDescent="0.25">
      <c r="A2678">
        <v>6852900</v>
      </c>
      <c r="B2678" t="s">
        <v>10289</v>
      </c>
      <c r="C2678" t="str">
        <f>"9789027210784"</f>
        <v>9789027210784</v>
      </c>
      <c r="D2678" t="str">
        <f>"9789027258168"</f>
        <v>9789027258168</v>
      </c>
      <c r="E2678" t="s">
        <v>1728</v>
      </c>
      <c r="F2678" s="1">
        <v>44601</v>
      </c>
      <c r="G2678" t="s">
        <v>10290</v>
      </c>
      <c r="H2678" t="s">
        <v>851</v>
      </c>
      <c r="J2678">
        <v>418.00709999999998</v>
      </c>
      <c r="L2678" t="s">
        <v>20</v>
      </c>
      <c r="M2678" t="s">
        <v>10291</v>
      </c>
    </row>
    <row r="2679" spans="1:13" x14ac:dyDescent="0.25">
      <c r="A2679">
        <v>6854483</v>
      </c>
      <c r="B2679" t="s">
        <v>10292</v>
      </c>
      <c r="C2679" t="str">
        <f>"9783030788520"</f>
        <v>9783030788520</v>
      </c>
      <c r="D2679" t="str">
        <f>"9783030788537"</f>
        <v>9783030788537</v>
      </c>
      <c r="E2679" t="s">
        <v>2905</v>
      </c>
      <c r="F2679" s="1">
        <v>44610</v>
      </c>
      <c r="G2679" t="s">
        <v>10293</v>
      </c>
      <c r="H2679" t="s">
        <v>83</v>
      </c>
      <c r="I2679" t="s">
        <v>4537</v>
      </c>
      <c r="L2679" t="s">
        <v>20</v>
      </c>
      <c r="M2679" t="s">
        <v>10294</v>
      </c>
    </row>
    <row r="2680" spans="1:13" x14ac:dyDescent="0.25">
      <c r="A2680">
        <v>6854734</v>
      </c>
      <c r="B2680" t="s">
        <v>10295</v>
      </c>
      <c r="C2680" t="str">
        <f>"9783658363673"</f>
        <v>9783658363673</v>
      </c>
      <c r="D2680" t="str">
        <f>"9783658363680"</f>
        <v>9783658363680</v>
      </c>
      <c r="E2680" t="s">
        <v>4472</v>
      </c>
      <c r="F2680" s="1">
        <v>44575</v>
      </c>
      <c r="G2680" t="s">
        <v>10296</v>
      </c>
      <c r="H2680" t="s">
        <v>64</v>
      </c>
      <c r="I2680" t="s">
        <v>10297</v>
      </c>
      <c r="L2680" t="s">
        <v>291</v>
      </c>
      <c r="M2680" t="s">
        <v>10298</v>
      </c>
    </row>
    <row r="2681" spans="1:13" x14ac:dyDescent="0.25">
      <c r="A2681">
        <v>6854864</v>
      </c>
      <c r="B2681" t="s">
        <v>10299</v>
      </c>
      <c r="C2681" t="str">
        <f>"9783662646328"</f>
        <v>9783662646328</v>
      </c>
      <c r="D2681" t="str">
        <f>"9783662646335"</f>
        <v>9783662646335</v>
      </c>
      <c r="E2681" t="s">
        <v>5860</v>
      </c>
      <c r="F2681" s="1">
        <v>44606</v>
      </c>
      <c r="G2681" t="s">
        <v>10300</v>
      </c>
      <c r="H2681" t="s">
        <v>1753</v>
      </c>
      <c r="I2681" t="s">
        <v>6372</v>
      </c>
      <c r="L2681" t="s">
        <v>291</v>
      </c>
      <c r="M2681" t="s">
        <v>10301</v>
      </c>
    </row>
    <row r="2682" spans="1:13" x14ac:dyDescent="0.25">
      <c r="A2682">
        <v>6855260</v>
      </c>
      <c r="B2682" t="s">
        <v>10302</v>
      </c>
      <c r="C2682" t="str">
        <f>"9783030890094"</f>
        <v>9783030890094</v>
      </c>
      <c r="D2682" t="str">
        <f>"9783030890100"</f>
        <v>9783030890100</v>
      </c>
      <c r="E2682" t="s">
        <v>2905</v>
      </c>
      <c r="F2682" s="1">
        <v>44575</v>
      </c>
      <c r="G2682" t="s">
        <v>10303</v>
      </c>
      <c r="H2682" t="s">
        <v>1283</v>
      </c>
      <c r="I2682" t="s">
        <v>4833</v>
      </c>
      <c r="L2682" t="s">
        <v>20</v>
      </c>
      <c r="M2682" t="s">
        <v>10304</v>
      </c>
    </row>
    <row r="2683" spans="1:13" x14ac:dyDescent="0.25">
      <c r="A2683">
        <v>6855292</v>
      </c>
      <c r="B2683" t="s">
        <v>10305</v>
      </c>
      <c r="C2683" t="str">
        <f>"9783658361600"</f>
        <v>9783658361600</v>
      </c>
      <c r="D2683" t="str">
        <f>"9783658361617"</f>
        <v>9783658361617</v>
      </c>
      <c r="E2683" t="s">
        <v>4472</v>
      </c>
      <c r="F2683" s="1">
        <v>44575</v>
      </c>
      <c r="G2683" t="s">
        <v>10306</v>
      </c>
      <c r="H2683" t="s">
        <v>246</v>
      </c>
      <c r="I2683" t="s">
        <v>4868</v>
      </c>
      <c r="L2683" t="s">
        <v>291</v>
      </c>
      <c r="M2683" t="s">
        <v>10307</v>
      </c>
    </row>
    <row r="2684" spans="1:13" x14ac:dyDescent="0.25">
      <c r="A2684">
        <v>6855517</v>
      </c>
      <c r="B2684" t="s">
        <v>10308</v>
      </c>
      <c r="C2684" t="str">
        <f>"9783030885083"</f>
        <v>9783030885083</v>
      </c>
      <c r="D2684" t="str">
        <f>"9783030885090"</f>
        <v>9783030885090</v>
      </c>
      <c r="E2684" t="s">
        <v>2905</v>
      </c>
      <c r="F2684" s="1">
        <v>44574</v>
      </c>
      <c r="G2684" t="s">
        <v>10309</v>
      </c>
      <c r="H2684" t="s">
        <v>30</v>
      </c>
      <c r="I2684" t="s">
        <v>4734</v>
      </c>
      <c r="L2684" t="s">
        <v>20</v>
      </c>
      <c r="M2684" t="s">
        <v>10310</v>
      </c>
    </row>
    <row r="2685" spans="1:13" x14ac:dyDescent="0.25">
      <c r="A2685">
        <v>6859756</v>
      </c>
      <c r="B2685" t="s">
        <v>10311</v>
      </c>
      <c r="C2685" t="str">
        <f>"9789633863763"</f>
        <v>9789633863763</v>
      </c>
      <c r="D2685" t="str">
        <f>"9789633863770"</f>
        <v>9789633863770</v>
      </c>
      <c r="E2685" t="s">
        <v>2263</v>
      </c>
      <c r="F2685" s="1">
        <v>44607</v>
      </c>
      <c r="G2685" t="s">
        <v>10312</v>
      </c>
      <c r="H2685" t="s">
        <v>139</v>
      </c>
      <c r="L2685" t="s">
        <v>20</v>
      </c>
      <c r="M2685" t="s">
        <v>10313</v>
      </c>
    </row>
    <row r="2686" spans="1:13" x14ac:dyDescent="0.25">
      <c r="A2686">
        <v>6869058</v>
      </c>
      <c r="B2686" t="s">
        <v>10314</v>
      </c>
      <c r="C2686" t="str">
        <f>"9780472073023"</f>
        <v>9780472073023</v>
      </c>
      <c r="D2686" t="str">
        <f>"9780472900671"</f>
        <v>9780472900671</v>
      </c>
      <c r="E2686" t="s">
        <v>6708</v>
      </c>
      <c r="F2686" s="1">
        <v>42500</v>
      </c>
      <c r="G2686" t="s">
        <v>10315</v>
      </c>
      <c r="H2686" t="s">
        <v>70</v>
      </c>
      <c r="I2686" t="s">
        <v>10316</v>
      </c>
      <c r="J2686" t="s">
        <v>10317</v>
      </c>
      <c r="L2686" t="s">
        <v>20</v>
      </c>
      <c r="M2686" t="s">
        <v>10318</v>
      </c>
    </row>
    <row r="2687" spans="1:13" x14ac:dyDescent="0.25">
      <c r="A2687">
        <v>6869059</v>
      </c>
      <c r="B2687" t="s">
        <v>10319</v>
      </c>
      <c r="C2687" t="str">
        <f>"9780472072804"</f>
        <v>9780472072804</v>
      </c>
      <c r="D2687" t="str">
        <f>"9780472900077"</f>
        <v>9780472900077</v>
      </c>
      <c r="E2687" t="s">
        <v>6708</v>
      </c>
      <c r="F2687" s="1">
        <v>42263</v>
      </c>
      <c r="G2687" t="s">
        <v>10320</v>
      </c>
      <c r="H2687" t="s">
        <v>310</v>
      </c>
      <c r="I2687" t="s">
        <v>10321</v>
      </c>
      <c r="J2687" t="s">
        <v>10322</v>
      </c>
      <c r="L2687" t="s">
        <v>20</v>
      </c>
      <c r="M2687" t="s">
        <v>10323</v>
      </c>
    </row>
    <row r="2688" spans="1:13" x14ac:dyDescent="0.25">
      <c r="A2688">
        <v>6869062</v>
      </c>
      <c r="B2688" t="s">
        <v>10324</v>
      </c>
      <c r="C2688" t="str">
        <f>"9780472072736"</f>
        <v>9780472072736</v>
      </c>
      <c r="D2688" t="str">
        <f>"9780472900084"</f>
        <v>9780472900084</v>
      </c>
      <c r="E2688" t="s">
        <v>6708</v>
      </c>
      <c r="F2688" s="1">
        <v>42256</v>
      </c>
      <c r="G2688" t="s">
        <v>10325</v>
      </c>
      <c r="H2688" t="s">
        <v>5453</v>
      </c>
      <c r="I2688" t="s">
        <v>10326</v>
      </c>
      <c r="L2688" t="s">
        <v>20</v>
      </c>
      <c r="M2688" t="s">
        <v>10327</v>
      </c>
    </row>
    <row r="2689" spans="1:13" x14ac:dyDescent="0.25">
      <c r="A2689">
        <v>6870834</v>
      </c>
      <c r="B2689" t="s">
        <v>10328</v>
      </c>
      <c r="C2689" t="str">
        <f>"9781478015260"</f>
        <v>9781478015260</v>
      </c>
      <c r="D2689" t="str">
        <f>"9781478091820"</f>
        <v>9781478091820</v>
      </c>
      <c r="E2689" t="s">
        <v>3113</v>
      </c>
      <c r="F2689" s="1">
        <v>44603</v>
      </c>
      <c r="G2689" t="s">
        <v>10329</v>
      </c>
      <c r="H2689" t="s">
        <v>806</v>
      </c>
      <c r="I2689" t="s">
        <v>10330</v>
      </c>
      <c r="J2689">
        <v>720.96699999999998</v>
      </c>
      <c r="L2689" t="s">
        <v>20</v>
      </c>
      <c r="M2689" t="s">
        <v>10331</v>
      </c>
    </row>
    <row r="2690" spans="1:13" x14ac:dyDescent="0.25">
      <c r="A2690">
        <v>6870835</v>
      </c>
      <c r="B2690" t="s">
        <v>10332</v>
      </c>
      <c r="C2690" t="str">
        <f>"9781478009801"</f>
        <v>9781478009801</v>
      </c>
      <c r="D2690" t="str">
        <f>"9781478092452"</f>
        <v>9781478092452</v>
      </c>
      <c r="E2690" t="s">
        <v>3113</v>
      </c>
      <c r="F2690" s="1">
        <v>44645</v>
      </c>
      <c r="G2690" t="s">
        <v>10333</v>
      </c>
      <c r="H2690" t="s">
        <v>146</v>
      </c>
      <c r="I2690" t="s">
        <v>7132</v>
      </c>
      <c r="J2690">
        <v>327.51</v>
      </c>
      <c r="L2690" t="s">
        <v>20</v>
      </c>
      <c r="M2690" t="s">
        <v>10334</v>
      </c>
    </row>
    <row r="2691" spans="1:13" x14ac:dyDescent="0.25">
      <c r="A2691">
        <v>6870836</v>
      </c>
      <c r="B2691" t="s">
        <v>10335</v>
      </c>
      <c r="C2691" t="str">
        <f>"9781478015314"</f>
        <v>9781478015314</v>
      </c>
      <c r="D2691" t="str">
        <f>"9781478092445"</f>
        <v>9781478092445</v>
      </c>
      <c r="E2691" t="s">
        <v>3113</v>
      </c>
      <c r="F2691" s="1">
        <v>44624</v>
      </c>
      <c r="G2691" t="s">
        <v>10336</v>
      </c>
      <c r="H2691" t="s">
        <v>70</v>
      </c>
      <c r="I2691" t="s">
        <v>9713</v>
      </c>
      <c r="J2691">
        <v>810.98680730000001</v>
      </c>
      <c r="L2691" t="s">
        <v>20</v>
      </c>
      <c r="M2691" t="s">
        <v>10337</v>
      </c>
    </row>
    <row r="2692" spans="1:13" x14ac:dyDescent="0.25">
      <c r="A2692">
        <v>6871063</v>
      </c>
      <c r="B2692" t="s">
        <v>10338</v>
      </c>
      <c r="C2692" t="str">
        <f>"9781644690642"</f>
        <v>9781644690642</v>
      </c>
      <c r="D2692" t="str">
        <f>"9781644690659"</f>
        <v>9781644690659</v>
      </c>
      <c r="E2692" t="s">
        <v>2224</v>
      </c>
      <c r="F2692" s="1">
        <v>43921</v>
      </c>
      <c r="G2692" t="s">
        <v>10339</v>
      </c>
      <c r="H2692" t="s">
        <v>139</v>
      </c>
      <c r="J2692">
        <v>947.08410000000003</v>
      </c>
      <c r="L2692" t="s">
        <v>20</v>
      </c>
      <c r="M2692" t="s">
        <v>10340</v>
      </c>
    </row>
    <row r="2693" spans="1:13" x14ac:dyDescent="0.25">
      <c r="A2693">
        <v>6871064</v>
      </c>
      <c r="B2693" t="s">
        <v>10341</v>
      </c>
      <c r="C2693" t="str">
        <f>"9781618118363"</f>
        <v>9781618118363</v>
      </c>
      <c r="D2693" t="str">
        <f>"9781644691137"</f>
        <v>9781644691137</v>
      </c>
      <c r="E2693" t="s">
        <v>2224</v>
      </c>
      <c r="F2693" s="1">
        <v>43781</v>
      </c>
      <c r="G2693" t="s">
        <v>10342</v>
      </c>
      <c r="H2693" t="s">
        <v>246</v>
      </c>
      <c r="J2693">
        <v>791.43023309199998</v>
      </c>
      <c r="L2693" t="s">
        <v>20</v>
      </c>
      <c r="M2693" t="s">
        <v>10343</v>
      </c>
    </row>
    <row r="2694" spans="1:13" x14ac:dyDescent="0.25">
      <c r="A2694">
        <v>6871212</v>
      </c>
      <c r="B2694" t="s">
        <v>10344</v>
      </c>
      <c r="C2694" t="str">
        <f>"9783030769697"</f>
        <v>9783030769697</v>
      </c>
      <c r="D2694" t="str">
        <f>"9783030769703"</f>
        <v>9783030769703</v>
      </c>
      <c r="E2694" t="s">
        <v>2905</v>
      </c>
      <c r="F2694" s="1">
        <v>44611</v>
      </c>
      <c r="G2694" t="s">
        <v>10345</v>
      </c>
      <c r="H2694" t="s">
        <v>10346</v>
      </c>
      <c r="I2694" t="s">
        <v>5862</v>
      </c>
      <c r="J2694">
        <v>121.4</v>
      </c>
      <c r="L2694" t="s">
        <v>20</v>
      </c>
      <c r="M2694" t="s">
        <v>10347</v>
      </c>
    </row>
    <row r="2695" spans="1:13" x14ac:dyDescent="0.25">
      <c r="A2695">
        <v>6871862</v>
      </c>
      <c r="B2695" t="s">
        <v>10348</v>
      </c>
      <c r="C2695" t="str">
        <f>"9781618114303"</f>
        <v>9781618114303</v>
      </c>
      <c r="D2695" t="str">
        <f>"9781618119230"</f>
        <v>9781618119230</v>
      </c>
      <c r="E2695" t="s">
        <v>2224</v>
      </c>
      <c r="F2695" s="1">
        <v>42109</v>
      </c>
      <c r="G2695" t="s">
        <v>10349</v>
      </c>
      <c r="H2695" t="s">
        <v>70</v>
      </c>
      <c r="L2695" t="s">
        <v>20</v>
      </c>
      <c r="M2695" t="s">
        <v>10350</v>
      </c>
    </row>
    <row r="2696" spans="1:13" x14ac:dyDescent="0.25">
      <c r="A2696">
        <v>6874774</v>
      </c>
      <c r="B2696" t="s">
        <v>10351</v>
      </c>
      <c r="C2696" t="str">
        <f>"9783030846893"</f>
        <v>9783030846893</v>
      </c>
      <c r="D2696" t="str">
        <f>"9783030846909"</f>
        <v>9783030846909</v>
      </c>
      <c r="E2696" t="s">
        <v>2905</v>
      </c>
      <c r="F2696" s="1">
        <v>44584</v>
      </c>
      <c r="G2696" t="s">
        <v>10352</v>
      </c>
      <c r="H2696" t="s">
        <v>16</v>
      </c>
      <c r="I2696" t="s">
        <v>10353</v>
      </c>
      <c r="L2696" t="s">
        <v>20</v>
      </c>
      <c r="M2696" t="s">
        <v>10354</v>
      </c>
    </row>
    <row r="2697" spans="1:13" x14ac:dyDescent="0.25">
      <c r="A2697">
        <v>6874796</v>
      </c>
      <c r="B2697" t="s">
        <v>10355</v>
      </c>
      <c r="C2697" t="str">
        <f>"9789811692284"</f>
        <v>9789811692284</v>
      </c>
      <c r="D2697" t="str">
        <f>"9789811692291"</f>
        <v>9789811692291</v>
      </c>
      <c r="E2697" t="s">
        <v>4099</v>
      </c>
      <c r="F2697" s="1">
        <v>44583</v>
      </c>
      <c r="G2697" t="s">
        <v>10356</v>
      </c>
      <c r="H2697" t="s">
        <v>712</v>
      </c>
      <c r="I2697" t="s">
        <v>5272</v>
      </c>
      <c r="L2697" t="s">
        <v>20</v>
      </c>
      <c r="M2697" t="s">
        <v>10357</v>
      </c>
    </row>
    <row r="2698" spans="1:13" x14ac:dyDescent="0.25">
      <c r="A2698">
        <v>6874848</v>
      </c>
      <c r="B2698" t="s">
        <v>10358</v>
      </c>
      <c r="C2698" t="str">
        <f>"9789811668265"</f>
        <v>9789811668265</v>
      </c>
      <c r="D2698" t="str">
        <f>"9789811668272"</f>
        <v>9789811668272</v>
      </c>
      <c r="E2698" t="s">
        <v>4099</v>
      </c>
      <c r="F2698" s="1">
        <v>44624</v>
      </c>
      <c r="G2698" t="s">
        <v>10359</v>
      </c>
      <c r="H2698" t="s">
        <v>1753</v>
      </c>
      <c r="I2698" t="s">
        <v>5403</v>
      </c>
      <c r="L2698" t="s">
        <v>20</v>
      </c>
      <c r="M2698" t="s">
        <v>10360</v>
      </c>
    </row>
    <row r="2699" spans="1:13" x14ac:dyDescent="0.25">
      <c r="A2699">
        <v>6874868</v>
      </c>
      <c r="B2699" t="s">
        <v>10361</v>
      </c>
      <c r="C2699" t="str">
        <f>"9789811677144"</f>
        <v>9789811677144</v>
      </c>
      <c r="D2699" t="str">
        <f>"9789811677151"</f>
        <v>9789811677151</v>
      </c>
      <c r="E2699" t="s">
        <v>4099</v>
      </c>
      <c r="F2699" s="1">
        <v>44587</v>
      </c>
      <c r="G2699" t="s">
        <v>10362</v>
      </c>
      <c r="H2699" t="s">
        <v>2623</v>
      </c>
      <c r="I2699" t="s">
        <v>6921</v>
      </c>
      <c r="L2699" t="s">
        <v>20</v>
      </c>
      <c r="M2699" t="s">
        <v>10363</v>
      </c>
    </row>
    <row r="2700" spans="1:13" x14ac:dyDescent="0.25">
      <c r="A2700">
        <v>6874872</v>
      </c>
      <c r="B2700" t="s">
        <v>10364</v>
      </c>
      <c r="C2700" t="str">
        <f>"9789811666902"</f>
        <v>9789811666902</v>
      </c>
      <c r="D2700" t="str">
        <f>"9789811666919"</f>
        <v>9789811666919</v>
      </c>
      <c r="E2700" t="s">
        <v>4099</v>
      </c>
      <c r="F2700" s="1">
        <v>44586</v>
      </c>
      <c r="G2700" t="s">
        <v>10365</v>
      </c>
      <c r="H2700" t="s">
        <v>83</v>
      </c>
      <c r="I2700" t="s">
        <v>8873</v>
      </c>
      <c r="L2700" t="s">
        <v>20</v>
      </c>
      <c r="M2700" t="s">
        <v>10366</v>
      </c>
    </row>
    <row r="2701" spans="1:13" x14ac:dyDescent="0.25">
      <c r="A2701">
        <v>6874889</v>
      </c>
      <c r="B2701" t="s">
        <v>10367</v>
      </c>
      <c r="C2701" t="str">
        <f>"9783030868963"</f>
        <v>9783030868963</v>
      </c>
      <c r="D2701" t="str">
        <f>"9783030868970"</f>
        <v>9783030868970</v>
      </c>
      <c r="E2701" t="s">
        <v>2905</v>
      </c>
      <c r="F2701" s="1">
        <v>44583</v>
      </c>
      <c r="G2701" t="s">
        <v>10368</v>
      </c>
      <c r="H2701" t="s">
        <v>169</v>
      </c>
      <c r="I2701" t="s">
        <v>10197</v>
      </c>
      <c r="J2701">
        <v>334.09399999999999</v>
      </c>
      <c r="L2701" t="s">
        <v>20</v>
      </c>
      <c r="M2701" t="s">
        <v>10369</v>
      </c>
    </row>
    <row r="2702" spans="1:13" x14ac:dyDescent="0.25">
      <c r="A2702">
        <v>6875089</v>
      </c>
      <c r="B2702" t="s">
        <v>10370</v>
      </c>
      <c r="C2702" t="str">
        <f>"9783319918419"</f>
        <v>9783319918419</v>
      </c>
      <c r="D2702" t="str">
        <f>"9783319918433"</f>
        <v>9783319918433</v>
      </c>
      <c r="E2702" t="s">
        <v>2905</v>
      </c>
      <c r="F2702" s="1">
        <v>44582</v>
      </c>
      <c r="G2702" t="s">
        <v>10371</v>
      </c>
      <c r="H2702" t="s">
        <v>1056</v>
      </c>
      <c r="I2702" t="s">
        <v>5786</v>
      </c>
      <c r="L2702" t="s">
        <v>20</v>
      </c>
      <c r="M2702" t="s">
        <v>10372</v>
      </c>
    </row>
    <row r="2703" spans="1:13" x14ac:dyDescent="0.25">
      <c r="A2703">
        <v>6875108</v>
      </c>
      <c r="B2703" t="s">
        <v>10373</v>
      </c>
      <c r="C2703" t="str">
        <f>"9789811667909"</f>
        <v>9789811667909</v>
      </c>
      <c r="D2703" t="str">
        <f>"9789811667916"</f>
        <v>9789811667916</v>
      </c>
      <c r="E2703" t="s">
        <v>2906</v>
      </c>
      <c r="F2703" s="1">
        <v>44587</v>
      </c>
      <c r="G2703" t="s">
        <v>10374</v>
      </c>
      <c r="H2703" t="s">
        <v>2614</v>
      </c>
      <c r="I2703" t="s">
        <v>4573</v>
      </c>
      <c r="L2703" t="s">
        <v>20</v>
      </c>
      <c r="M2703" t="s">
        <v>10375</v>
      </c>
    </row>
    <row r="2704" spans="1:13" x14ac:dyDescent="0.25">
      <c r="A2704">
        <v>6875122</v>
      </c>
      <c r="B2704" t="s">
        <v>10376</v>
      </c>
      <c r="C2704" t="str">
        <f>"9783030812065"</f>
        <v>9783030812065</v>
      </c>
      <c r="D2704" t="str">
        <f>"9783030812072"</f>
        <v>9783030812072</v>
      </c>
      <c r="E2704" t="s">
        <v>2905</v>
      </c>
      <c r="F2704" s="1">
        <v>44581</v>
      </c>
      <c r="G2704" t="s">
        <v>10377</v>
      </c>
      <c r="H2704" t="s">
        <v>1056</v>
      </c>
      <c r="I2704" t="s">
        <v>5247</v>
      </c>
      <c r="L2704" t="s">
        <v>20</v>
      </c>
      <c r="M2704" t="s">
        <v>10378</v>
      </c>
    </row>
    <row r="2705" spans="1:13" x14ac:dyDescent="0.25">
      <c r="A2705">
        <v>6876156</v>
      </c>
      <c r="B2705" t="s">
        <v>10379</v>
      </c>
      <c r="C2705" t="str">
        <f>"9783030855796"</f>
        <v>9783030855796</v>
      </c>
      <c r="D2705" t="str">
        <f>"9783030855802"</f>
        <v>9783030855802</v>
      </c>
      <c r="E2705" t="s">
        <v>2905</v>
      </c>
      <c r="F2705" s="1">
        <v>44628</v>
      </c>
      <c r="G2705" t="s">
        <v>10380</v>
      </c>
      <c r="H2705" t="s">
        <v>120</v>
      </c>
      <c r="I2705" t="s">
        <v>4623</v>
      </c>
      <c r="J2705">
        <v>320.54000000000002</v>
      </c>
      <c r="L2705" t="s">
        <v>20</v>
      </c>
      <c r="M2705" t="s">
        <v>10381</v>
      </c>
    </row>
    <row r="2706" spans="1:13" x14ac:dyDescent="0.25">
      <c r="A2706">
        <v>6877486</v>
      </c>
      <c r="B2706" t="s">
        <v>10382</v>
      </c>
      <c r="C2706" t="str">
        <f>"9783030911935"</f>
        <v>9783030911935</v>
      </c>
      <c r="D2706" t="str">
        <f>"9783030911942"</f>
        <v>9783030911942</v>
      </c>
      <c r="E2706" t="s">
        <v>2905</v>
      </c>
      <c r="F2706" s="1">
        <v>44642</v>
      </c>
      <c r="G2706" t="s">
        <v>10383</v>
      </c>
      <c r="H2706" t="s">
        <v>83</v>
      </c>
      <c r="I2706" t="s">
        <v>4615</v>
      </c>
      <c r="L2706" t="s">
        <v>20</v>
      </c>
      <c r="M2706" t="s">
        <v>10384</v>
      </c>
    </row>
    <row r="2707" spans="1:13" x14ac:dyDescent="0.25">
      <c r="A2707">
        <v>6877730</v>
      </c>
      <c r="B2707" t="s">
        <v>10385</v>
      </c>
      <c r="C2707" t="str">
        <f>"9783030917302"</f>
        <v>9783030917302</v>
      </c>
      <c r="D2707" t="str">
        <f>"9783030917319"</f>
        <v>9783030917319</v>
      </c>
      <c r="E2707" t="s">
        <v>2905</v>
      </c>
      <c r="F2707" s="1">
        <v>44630</v>
      </c>
      <c r="G2707" t="s">
        <v>10386</v>
      </c>
      <c r="H2707" t="s">
        <v>30</v>
      </c>
      <c r="I2707" t="s">
        <v>4676</v>
      </c>
      <c r="L2707" t="s">
        <v>20</v>
      </c>
      <c r="M2707" t="s">
        <v>10387</v>
      </c>
    </row>
    <row r="2708" spans="1:13" x14ac:dyDescent="0.25">
      <c r="A2708">
        <v>6877773</v>
      </c>
      <c r="B2708" t="s">
        <v>10388</v>
      </c>
      <c r="C2708" t="str">
        <f>"9783030862107"</f>
        <v>9783030862107</v>
      </c>
      <c r="D2708" t="str">
        <f>"9783030862114"</f>
        <v>9783030862114</v>
      </c>
      <c r="E2708" t="s">
        <v>2905</v>
      </c>
      <c r="F2708" s="1">
        <v>44635</v>
      </c>
      <c r="G2708" t="s">
        <v>10389</v>
      </c>
      <c r="H2708" t="s">
        <v>1056</v>
      </c>
      <c r="I2708" t="s">
        <v>5247</v>
      </c>
      <c r="L2708" t="s">
        <v>20</v>
      </c>
      <c r="M2708" t="s">
        <v>10390</v>
      </c>
    </row>
    <row r="2709" spans="1:13" x14ac:dyDescent="0.25">
      <c r="A2709">
        <v>6877842</v>
      </c>
      <c r="B2709" t="s">
        <v>10391</v>
      </c>
      <c r="C2709" t="str">
        <f>"9783030860752"</f>
        <v>9783030860752</v>
      </c>
      <c r="D2709" t="str">
        <f>"9783030860769"</f>
        <v>9783030860769</v>
      </c>
      <c r="E2709" t="s">
        <v>2905</v>
      </c>
      <c r="F2709" s="1">
        <v>44636</v>
      </c>
      <c r="G2709" t="s">
        <v>10392</v>
      </c>
      <c r="H2709" t="s">
        <v>266</v>
      </c>
      <c r="I2709" t="s">
        <v>5505</v>
      </c>
      <c r="L2709" t="s">
        <v>20</v>
      </c>
      <c r="M2709" t="s">
        <v>10393</v>
      </c>
    </row>
    <row r="2710" spans="1:13" x14ac:dyDescent="0.25">
      <c r="A2710">
        <v>6877979</v>
      </c>
      <c r="B2710" t="s">
        <v>10394</v>
      </c>
      <c r="C2710" t="str">
        <f>"9783030860042"</f>
        <v>9783030860042</v>
      </c>
      <c r="D2710" t="str">
        <f>"9783030860059"</f>
        <v>9783030860059</v>
      </c>
      <c r="E2710" t="s">
        <v>2905</v>
      </c>
      <c r="F2710" s="1">
        <v>44647</v>
      </c>
      <c r="G2710" t="s">
        <v>10395</v>
      </c>
      <c r="H2710" t="s">
        <v>30</v>
      </c>
      <c r="I2710" t="s">
        <v>4807</v>
      </c>
      <c r="L2710" t="s">
        <v>20</v>
      </c>
      <c r="M2710" t="s">
        <v>10396</v>
      </c>
    </row>
    <row r="2711" spans="1:13" x14ac:dyDescent="0.25">
      <c r="A2711">
        <v>6878098</v>
      </c>
      <c r="B2711" t="s">
        <v>10397</v>
      </c>
      <c r="C2711" t="str">
        <f>"9783030876630"</f>
        <v>9783030876630</v>
      </c>
      <c r="D2711" t="str">
        <f>"9783030876647"</f>
        <v>9783030876647</v>
      </c>
      <c r="E2711" t="s">
        <v>2905</v>
      </c>
      <c r="F2711" s="1">
        <v>44635</v>
      </c>
      <c r="G2711" t="s">
        <v>10398</v>
      </c>
      <c r="H2711" t="s">
        <v>4564</v>
      </c>
      <c r="I2711" t="s">
        <v>10399</v>
      </c>
      <c r="L2711" t="s">
        <v>20</v>
      </c>
      <c r="M2711" t="s">
        <v>10400</v>
      </c>
    </row>
    <row r="2712" spans="1:13" x14ac:dyDescent="0.25">
      <c r="A2712">
        <v>6878119</v>
      </c>
      <c r="B2712" t="s">
        <v>10401</v>
      </c>
      <c r="C2712" t="str">
        <f>"9781478013860"</f>
        <v>9781478013860</v>
      </c>
      <c r="D2712" t="str">
        <f>"9781478091684"</f>
        <v>9781478091684</v>
      </c>
      <c r="E2712" t="s">
        <v>3113</v>
      </c>
      <c r="F2712" s="1">
        <v>44586</v>
      </c>
      <c r="G2712" t="s">
        <v>10402</v>
      </c>
      <c r="H2712" t="s">
        <v>363</v>
      </c>
      <c r="I2712" t="s">
        <v>10403</v>
      </c>
      <c r="J2712">
        <v>370.91734000000002</v>
      </c>
      <c r="L2712" t="s">
        <v>20</v>
      </c>
      <c r="M2712" t="s">
        <v>10404</v>
      </c>
    </row>
    <row r="2713" spans="1:13" x14ac:dyDescent="0.25">
      <c r="A2713">
        <v>6878120</v>
      </c>
      <c r="B2713" t="s">
        <v>10405</v>
      </c>
      <c r="C2713" t="str">
        <f>"9781478013532"</f>
        <v>9781478013532</v>
      </c>
      <c r="D2713" t="str">
        <f>"9781478091769"</f>
        <v>9781478091769</v>
      </c>
      <c r="E2713" t="s">
        <v>3113</v>
      </c>
      <c r="F2713" s="1">
        <v>44519</v>
      </c>
      <c r="G2713" t="s">
        <v>10406</v>
      </c>
      <c r="H2713" t="s">
        <v>10407</v>
      </c>
      <c r="I2713" t="s">
        <v>10408</v>
      </c>
      <c r="J2713">
        <v>201.67</v>
      </c>
      <c r="L2713" t="s">
        <v>20</v>
      </c>
      <c r="M2713" t="s">
        <v>10409</v>
      </c>
    </row>
    <row r="2714" spans="1:13" x14ac:dyDescent="0.25">
      <c r="A2714">
        <v>6878121</v>
      </c>
      <c r="B2714" t="s">
        <v>10410</v>
      </c>
      <c r="C2714" t="str">
        <f>"9781478010746"</f>
        <v>9781478010746</v>
      </c>
      <c r="D2714" t="str">
        <f>"9781478091691"</f>
        <v>9781478091691</v>
      </c>
      <c r="E2714" t="s">
        <v>3113</v>
      </c>
      <c r="F2714" s="1">
        <v>44372</v>
      </c>
      <c r="G2714" t="s">
        <v>10411</v>
      </c>
      <c r="H2714" t="s">
        <v>64</v>
      </c>
      <c r="I2714" t="s">
        <v>10412</v>
      </c>
      <c r="J2714">
        <v>305.80072100000001</v>
      </c>
      <c r="L2714" t="s">
        <v>20</v>
      </c>
      <c r="M2714" t="s">
        <v>10413</v>
      </c>
    </row>
    <row r="2715" spans="1:13" x14ac:dyDescent="0.25">
      <c r="A2715">
        <v>6878122</v>
      </c>
      <c r="B2715" t="s">
        <v>10414</v>
      </c>
      <c r="C2715" t="str">
        <f>"9781478013792"</f>
        <v>9781478013792</v>
      </c>
      <c r="D2715" t="str">
        <f>"9781478091776"</f>
        <v>9781478091776</v>
      </c>
      <c r="E2715" t="s">
        <v>3113</v>
      </c>
      <c r="F2715" s="1">
        <v>44505</v>
      </c>
      <c r="G2715" t="s">
        <v>10415</v>
      </c>
      <c r="H2715" t="s">
        <v>3219</v>
      </c>
      <c r="I2715" t="s">
        <v>10416</v>
      </c>
      <c r="J2715">
        <v>362.19699500953999</v>
      </c>
      <c r="L2715" t="s">
        <v>20</v>
      </c>
      <c r="M2715" t="s">
        <v>10417</v>
      </c>
    </row>
    <row r="2716" spans="1:13" x14ac:dyDescent="0.25">
      <c r="A2716">
        <v>6878123</v>
      </c>
      <c r="B2716" t="s">
        <v>10418</v>
      </c>
      <c r="C2716" t="str">
        <f>"9781478013686"</f>
        <v>9781478013686</v>
      </c>
      <c r="D2716" t="str">
        <f>"9781478091813"</f>
        <v>9781478091813</v>
      </c>
      <c r="E2716" t="s">
        <v>3113</v>
      </c>
      <c r="F2716" s="1">
        <v>44519</v>
      </c>
      <c r="G2716" t="s">
        <v>10419</v>
      </c>
      <c r="H2716" t="s">
        <v>246</v>
      </c>
      <c r="I2716" t="s">
        <v>10420</v>
      </c>
      <c r="J2716">
        <v>780.99683000000005</v>
      </c>
      <c r="L2716" t="s">
        <v>20</v>
      </c>
      <c r="M2716" t="s">
        <v>10421</v>
      </c>
    </row>
    <row r="2717" spans="1:13" x14ac:dyDescent="0.25">
      <c r="A2717">
        <v>6882488</v>
      </c>
      <c r="B2717" t="s">
        <v>10422</v>
      </c>
      <c r="C2717" t="str">
        <f>"9783030893965"</f>
        <v>9783030893965</v>
      </c>
      <c r="D2717" t="str">
        <f>"9783030893972"</f>
        <v>9783030893972</v>
      </c>
      <c r="E2717" t="s">
        <v>2905</v>
      </c>
      <c r="F2717" s="1">
        <v>44626</v>
      </c>
      <c r="G2717" t="s">
        <v>10423</v>
      </c>
      <c r="H2717" t="s">
        <v>1178</v>
      </c>
      <c r="I2717" t="s">
        <v>10424</v>
      </c>
      <c r="L2717" t="s">
        <v>20</v>
      </c>
      <c r="M2717" t="s">
        <v>10425</v>
      </c>
    </row>
    <row r="2718" spans="1:13" x14ac:dyDescent="0.25">
      <c r="A2718">
        <v>6882491</v>
      </c>
      <c r="B2718" t="s">
        <v>10426</v>
      </c>
      <c r="C2718" t="str">
        <f>"9783030826536"</f>
        <v>9783030826536</v>
      </c>
      <c r="D2718" t="str">
        <f>"9783030826543"</f>
        <v>9783030826543</v>
      </c>
      <c r="E2718" t="s">
        <v>2905</v>
      </c>
      <c r="F2718" s="1">
        <v>44632</v>
      </c>
      <c r="G2718" t="s">
        <v>10427</v>
      </c>
      <c r="H2718" t="s">
        <v>30</v>
      </c>
      <c r="I2718" t="s">
        <v>5532</v>
      </c>
      <c r="L2718" t="s">
        <v>20</v>
      </c>
      <c r="M2718" t="s">
        <v>10428</v>
      </c>
    </row>
    <row r="2719" spans="1:13" x14ac:dyDescent="0.25">
      <c r="A2719">
        <v>6884828</v>
      </c>
      <c r="B2719" t="s">
        <v>10429</v>
      </c>
      <c r="C2719" t="str">
        <f>"9780472038527"</f>
        <v>9780472038527</v>
      </c>
      <c r="D2719" t="str">
        <f>"9780472902590"</f>
        <v>9780472902590</v>
      </c>
      <c r="E2719" t="s">
        <v>6708</v>
      </c>
      <c r="F2719" s="1">
        <v>44615</v>
      </c>
      <c r="G2719" t="s">
        <v>10430</v>
      </c>
      <c r="H2719" t="s">
        <v>10431</v>
      </c>
      <c r="I2719" t="s">
        <v>10326</v>
      </c>
      <c r="J2719">
        <v>777.38</v>
      </c>
      <c r="L2719" t="s">
        <v>20</v>
      </c>
      <c r="M2719" t="s">
        <v>10432</v>
      </c>
    </row>
    <row r="2720" spans="1:13" x14ac:dyDescent="0.25">
      <c r="A2720">
        <v>6884889</v>
      </c>
      <c r="B2720" t="s">
        <v>10433</v>
      </c>
      <c r="C2720" t="str">
        <f>"9783030785352"</f>
        <v>9783030785352</v>
      </c>
      <c r="D2720" t="str">
        <f>"9783030785369"</f>
        <v>9783030785369</v>
      </c>
      <c r="E2720" t="s">
        <v>2905</v>
      </c>
      <c r="F2720" s="1">
        <v>44600</v>
      </c>
      <c r="G2720" t="s">
        <v>10434</v>
      </c>
      <c r="H2720" t="s">
        <v>10435</v>
      </c>
      <c r="I2720" t="s">
        <v>4239</v>
      </c>
      <c r="L2720" t="s">
        <v>20</v>
      </c>
      <c r="M2720" t="s">
        <v>10436</v>
      </c>
    </row>
    <row r="2721" spans="1:13" x14ac:dyDescent="0.25">
      <c r="A2721">
        <v>6884913</v>
      </c>
      <c r="B2721" t="s">
        <v>10437</v>
      </c>
      <c r="C2721" t="str">
        <f>"9783030897918"</f>
        <v>9783030897918</v>
      </c>
      <c r="D2721" t="str">
        <f>"9783030897925"</f>
        <v>9783030897925</v>
      </c>
      <c r="E2721" t="s">
        <v>2905</v>
      </c>
      <c r="F2721" s="1">
        <v>44635</v>
      </c>
      <c r="G2721" t="s">
        <v>10438</v>
      </c>
      <c r="H2721" t="s">
        <v>4465</v>
      </c>
      <c r="I2721" t="s">
        <v>5167</v>
      </c>
      <c r="L2721" t="s">
        <v>20</v>
      </c>
      <c r="M2721" t="s">
        <v>10439</v>
      </c>
    </row>
    <row r="2722" spans="1:13" x14ac:dyDescent="0.25">
      <c r="A2722">
        <v>6884928</v>
      </c>
      <c r="B2722" t="s">
        <v>10440</v>
      </c>
      <c r="C2722" t="str">
        <f>"9783030943523"</f>
        <v>9783030943523</v>
      </c>
      <c r="D2722" t="str">
        <f>"9783030943530"</f>
        <v>9783030943530</v>
      </c>
      <c r="E2722" t="s">
        <v>2905</v>
      </c>
      <c r="F2722" s="1">
        <v>44616</v>
      </c>
      <c r="G2722" t="s">
        <v>10441</v>
      </c>
      <c r="H2722" t="s">
        <v>5792</v>
      </c>
      <c r="I2722" t="s">
        <v>8471</v>
      </c>
      <c r="L2722" t="s">
        <v>20</v>
      </c>
      <c r="M2722" t="s">
        <v>10442</v>
      </c>
    </row>
    <row r="2723" spans="1:13" x14ac:dyDescent="0.25">
      <c r="A2723">
        <v>6885901</v>
      </c>
      <c r="B2723" t="s">
        <v>10443</v>
      </c>
      <c r="C2723" t="str">
        <f>"9783030939502"</f>
        <v>9783030939502</v>
      </c>
      <c r="D2723" t="str">
        <f>"9783030939519"</f>
        <v>9783030939519</v>
      </c>
      <c r="E2723" t="s">
        <v>2905</v>
      </c>
      <c r="F2723" s="1">
        <v>44633</v>
      </c>
      <c r="G2723" t="s">
        <v>10444</v>
      </c>
      <c r="H2723" t="s">
        <v>363</v>
      </c>
      <c r="I2723" t="s">
        <v>6563</v>
      </c>
      <c r="L2723" t="s">
        <v>20</v>
      </c>
      <c r="M2723" t="s">
        <v>10445</v>
      </c>
    </row>
    <row r="2724" spans="1:13" x14ac:dyDescent="0.25">
      <c r="A2724">
        <v>6885922</v>
      </c>
      <c r="B2724" t="s">
        <v>10446</v>
      </c>
      <c r="C2724" t="str">
        <f>"9783030827854"</f>
        <v>9783030827854</v>
      </c>
      <c r="D2724" t="str">
        <f>"9783030827861"</f>
        <v>9783030827861</v>
      </c>
      <c r="E2724" t="s">
        <v>2905</v>
      </c>
      <c r="F2724" s="1">
        <v>44633</v>
      </c>
      <c r="G2724" t="s">
        <v>10447</v>
      </c>
      <c r="H2724" t="s">
        <v>712</v>
      </c>
      <c r="I2724" t="s">
        <v>5272</v>
      </c>
      <c r="L2724" t="s">
        <v>20</v>
      </c>
      <c r="M2724" t="s">
        <v>10448</v>
      </c>
    </row>
    <row r="2725" spans="1:13" x14ac:dyDescent="0.25">
      <c r="A2725">
        <v>6886954</v>
      </c>
      <c r="B2725" t="s">
        <v>10449</v>
      </c>
      <c r="C2725" t="str">
        <f>"9781800643031"</f>
        <v>9781800643031</v>
      </c>
      <c r="D2725" t="str">
        <f>"9781800643048"</f>
        <v>9781800643048</v>
      </c>
      <c r="E2725" t="s">
        <v>2270</v>
      </c>
      <c r="F2725" s="1">
        <v>44593</v>
      </c>
      <c r="G2725" t="s">
        <v>10450</v>
      </c>
      <c r="H2725" t="s">
        <v>4435</v>
      </c>
      <c r="L2725" t="s">
        <v>20</v>
      </c>
      <c r="M2725" t="s">
        <v>10451</v>
      </c>
    </row>
    <row r="2726" spans="1:13" x14ac:dyDescent="0.25">
      <c r="A2726">
        <v>6886955</v>
      </c>
      <c r="B2726" t="s">
        <v>10452</v>
      </c>
      <c r="C2726" t="str">
        <f>"9781800642430"</f>
        <v>9781800642430</v>
      </c>
      <c r="D2726" t="str">
        <f>"9781800642447"</f>
        <v>9781800642447</v>
      </c>
      <c r="E2726" t="s">
        <v>2270</v>
      </c>
      <c r="F2726" s="1">
        <v>44599</v>
      </c>
      <c r="G2726" t="s">
        <v>10453</v>
      </c>
      <c r="H2726" t="s">
        <v>246</v>
      </c>
      <c r="L2726" t="s">
        <v>4340</v>
      </c>
      <c r="M2726" t="s">
        <v>10454</v>
      </c>
    </row>
    <row r="2727" spans="1:13" x14ac:dyDescent="0.25">
      <c r="A2727">
        <v>6886956</v>
      </c>
      <c r="B2727" t="s">
        <v>10455</v>
      </c>
      <c r="C2727" t="str">
        <f>"9781800643093"</f>
        <v>9781800643093</v>
      </c>
      <c r="D2727" t="str">
        <f>"9781800643109"</f>
        <v>9781800643109</v>
      </c>
      <c r="E2727" t="s">
        <v>2270</v>
      </c>
      <c r="F2727" s="1">
        <v>44580</v>
      </c>
      <c r="G2727" t="s">
        <v>10456</v>
      </c>
      <c r="H2727" t="s">
        <v>120</v>
      </c>
      <c r="L2727" t="s">
        <v>20</v>
      </c>
      <c r="M2727" t="s">
        <v>10457</v>
      </c>
    </row>
    <row r="2728" spans="1:13" x14ac:dyDescent="0.25">
      <c r="A2728">
        <v>6887009</v>
      </c>
      <c r="B2728" t="s">
        <v>10458</v>
      </c>
      <c r="C2728" t="str">
        <f>"9783030894450"</f>
        <v>9783030894450</v>
      </c>
      <c r="D2728" t="str">
        <f>"9783030894467"</f>
        <v>9783030894467</v>
      </c>
      <c r="E2728" t="s">
        <v>2905</v>
      </c>
      <c r="F2728" s="1">
        <v>44641</v>
      </c>
      <c r="G2728" t="s">
        <v>10459</v>
      </c>
      <c r="H2728" t="s">
        <v>1753</v>
      </c>
      <c r="I2728" t="s">
        <v>4474</v>
      </c>
      <c r="J2728">
        <v>658.40599999999995</v>
      </c>
      <c r="L2728" t="s">
        <v>20</v>
      </c>
      <c r="M2728" t="s">
        <v>10460</v>
      </c>
    </row>
    <row r="2729" spans="1:13" x14ac:dyDescent="0.25">
      <c r="A2729">
        <v>6887015</v>
      </c>
      <c r="B2729" t="s">
        <v>10461</v>
      </c>
      <c r="C2729" t="str">
        <f>"9783030930349"</f>
        <v>9783030930349</v>
      </c>
      <c r="D2729" t="str">
        <f>"9783030930356"</f>
        <v>9783030930356</v>
      </c>
      <c r="E2729" t="s">
        <v>2905</v>
      </c>
      <c r="F2729" s="1">
        <v>44640</v>
      </c>
      <c r="G2729" t="s">
        <v>10462</v>
      </c>
      <c r="H2729" t="s">
        <v>30</v>
      </c>
      <c r="I2729" t="s">
        <v>4676</v>
      </c>
      <c r="L2729" t="s">
        <v>20</v>
      </c>
      <c r="M2729" t="s">
        <v>10463</v>
      </c>
    </row>
    <row r="2730" spans="1:13" x14ac:dyDescent="0.25">
      <c r="A2730">
        <v>6887180</v>
      </c>
      <c r="B2730" t="s">
        <v>10464</v>
      </c>
      <c r="C2730" t="str">
        <f>"9783030891466"</f>
        <v>9783030891466</v>
      </c>
      <c r="D2730" t="str">
        <f>"9783030891473"</f>
        <v>9783030891473</v>
      </c>
      <c r="E2730" t="s">
        <v>2905</v>
      </c>
      <c r="F2730" s="1">
        <v>44640</v>
      </c>
      <c r="G2730" t="s">
        <v>10465</v>
      </c>
      <c r="H2730" t="s">
        <v>363</v>
      </c>
      <c r="I2730" t="s">
        <v>6501</v>
      </c>
      <c r="L2730" t="s">
        <v>20</v>
      </c>
      <c r="M2730" t="s">
        <v>10466</v>
      </c>
    </row>
    <row r="2731" spans="1:13" x14ac:dyDescent="0.25">
      <c r="A2731">
        <v>6887200</v>
      </c>
      <c r="B2731" t="s">
        <v>10467</v>
      </c>
      <c r="C2731" t="str">
        <f>"9783030936532"</f>
        <v>9783030936532</v>
      </c>
      <c r="D2731" t="str">
        <f>"9783030936549"</f>
        <v>9783030936549</v>
      </c>
      <c r="E2731" t="s">
        <v>2905</v>
      </c>
      <c r="F2731" s="1">
        <v>44646</v>
      </c>
      <c r="G2731" t="s">
        <v>10468</v>
      </c>
      <c r="H2731" t="s">
        <v>120</v>
      </c>
      <c r="I2731" t="s">
        <v>5559</v>
      </c>
      <c r="J2731">
        <v>303.6607101724</v>
      </c>
      <c r="L2731" t="s">
        <v>20</v>
      </c>
      <c r="M2731" t="s">
        <v>10469</v>
      </c>
    </row>
    <row r="2732" spans="1:13" x14ac:dyDescent="0.25">
      <c r="A2732">
        <v>6887326</v>
      </c>
      <c r="B2732" t="s">
        <v>10470</v>
      </c>
      <c r="C2732" t="str">
        <f>"9783030894047"</f>
        <v>9783030894047</v>
      </c>
      <c r="D2732" t="str">
        <f>"9783030894054"</f>
        <v>9783030894054</v>
      </c>
      <c r="E2732" t="s">
        <v>2905</v>
      </c>
      <c r="F2732" s="1">
        <v>44649</v>
      </c>
      <c r="G2732" t="s">
        <v>10471</v>
      </c>
      <c r="H2732" t="s">
        <v>10472</v>
      </c>
      <c r="I2732" t="s">
        <v>8873</v>
      </c>
      <c r="J2732">
        <v>631.52099999999996</v>
      </c>
      <c r="L2732" t="s">
        <v>20</v>
      </c>
      <c r="M2732" t="s">
        <v>10473</v>
      </c>
    </row>
    <row r="2733" spans="1:13" x14ac:dyDescent="0.25">
      <c r="A2733">
        <v>6888358</v>
      </c>
      <c r="B2733" t="s">
        <v>10474</v>
      </c>
      <c r="C2733" t="str">
        <f>"9783030780395"</f>
        <v>9783030780395</v>
      </c>
      <c r="D2733" t="str">
        <f>"9783030780401"</f>
        <v>9783030780401</v>
      </c>
      <c r="E2733" t="s">
        <v>2905</v>
      </c>
      <c r="F2733" s="1">
        <v>44641</v>
      </c>
      <c r="G2733" t="s">
        <v>10475</v>
      </c>
      <c r="H2733" t="s">
        <v>64</v>
      </c>
      <c r="I2733" t="s">
        <v>4623</v>
      </c>
      <c r="J2733">
        <v>304.20139999999998</v>
      </c>
      <c r="L2733" t="s">
        <v>20</v>
      </c>
      <c r="M2733" t="s">
        <v>10476</v>
      </c>
    </row>
    <row r="2734" spans="1:13" x14ac:dyDescent="0.25">
      <c r="A2734">
        <v>6889616</v>
      </c>
      <c r="B2734" t="s">
        <v>10477</v>
      </c>
      <c r="C2734" t="str">
        <f>"9783030909833"</f>
        <v>9783030909833</v>
      </c>
      <c r="D2734" t="str">
        <f>"9783030909840"</f>
        <v>9783030909840</v>
      </c>
      <c r="E2734" t="s">
        <v>2905</v>
      </c>
      <c r="F2734" s="1">
        <v>44608</v>
      </c>
      <c r="G2734" t="s">
        <v>10478</v>
      </c>
      <c r="H2734" t="s">
        <v>10479</v>
      </c>
      <c r="I2734" t="s">
        <v>4876</v>
      </c>
      <c r="J2734">
        <v>686.224019</v>
      </c>
      <c r="L2734" t="s">
        <v>20</v>
      </c>
      <c r="M2734" t="s">
        <v>10480</v>
      </c>
    </row>
    <row r="2735" spans="1:13" x14ac:dyDescent="0.25">
      <c r="A2735">
        <v>6889645</v>
      </c>
      <c r="B2735" t="s">
        <v>10481</v>
      </c>
      <c r="C2735" t="str">
        <f>"9783030907686"</f>
        <v>9783030907686</v>
      </c>
      <c r="D2735" t="str">
        <f>"9783030907693"</f>
        <v>9783030907693</v>
      </c>
      <c r="E2735" t="s">
        <v>2905</v>
      </c>
      <c r="F2735" s="1">
        <v>44608</v>
      </c>
      <c r="G2735" t="s">
        <v>10482</v>
      </c>
      <c r="H2735" t="s">
        <v>1753</v>
      </c>
      <c r="I2735" t="s">
        <v>10483</v>
      </c>
      <c r="L2735" t="s">
        <v>20</v>
      </c>
      <c r="M2735" t="s">
        <v>10484</v>
      </c>
    </row>
    <row r="2736" spans="1:13" x14ac:dyDescent="0.25">
      <c r="A2736">
        <v>6889685</v>
      </c>
      <c r="B2736" t="s">
        <v>10485</v>
      </c>
      <c r="C2736" t="str">
        <f>"9789027210166"</f>
        <v>9789027210166</v>
      </c>
      <c r="D2736" t="str">
        <f>"9789027258267"</f>
        <v>9789027258267</v>
      </c>
      <c r="E2736" t="s">
        <v>1728</v>
      </c>
      <c r="F2736" s="1">
        <v>44630</v>
      </c>
      <c r="G2736" t="s">
        <v>10486</v>
      </c>
      <c r="H2736" t="s">
        <v>851</v>
      </c>
      <c r="I2736" t="s">
        <v>10487</v>
      </c>
      <c r="J2736">
        <v>439.2</v>
      </c>
      <c r="L2736" t="s">
        <v>20</v>
      </c>
      <c r="M2736" t="s">
        <v>10488</v>
      </c>
    </row>
    <row r="2737" spans="1:13" x14ac:dyDescent="0.25">
      <c r="A2737">
        <v>6891944</v>
      </c>
      <c r="B2737" t="s">
        <v>10489</v>
      </c>
      <c r="C2737" t="str">
        <f>"9783030793524"</f>
        <v>9783030793524</v>
      </c>
      <c r="D2737" t="str">
        <f>"9783030793531"</f>
        <v>9783030793531</v>
      </c>
      <c r="E2737" t="s">
        <v>2905</v>
      </c>
      <c r="F2737" s="1">
        <v>44646</v>
      </c>
      <c r="G2737" t="s">
        <v>10490</v>
      </c>
      <c r="H2737" t="s">
        <v>4180</v>
      </c>
      <c r="I2737" t="s">
        <v>10491</v>
      </c>
      <c r="L2737" t="s">
        <v>20</v>
      </c>
      <c r="M2737" t="s">
        <v>10492</v>
      </c>
    </row>
    <row r="2738" spans="1:13" x14ac:dyDescent="0.25">
      <c r="A2738">
        <v>6891949</v>
      </c>
      <c r="B2738" t="s">
        <v>10493</v>
      </c>
      <c r="C2738" t="str">
        <f>"9789811686023"</f>
        <v>9789811686023</v>
      </c>
      <c r="D2738" t="str">
        <f>"9789811686030"</f>
        <v>9789811686030</v>
      </c>
      <c r="E2738" t="s">
        <v>4099</v>
      </c>
      <c r="F2738" s="1">
        <v>44646</v>
      </c>
      <c r="G2738" t="s">
        <v>10494</v>
      </c>
      <c r="H2738" t="s">
        <v>1753</v>
      </c>
      <c r="I2738" t="s">
        <v>8441</v>
      </c>
      <c r="L2738" t="s">
        <v>20</v>
      </c>
      <c r="M2738" t="s">
        <v>10495</v>
      </c>
    </row>
    <row r="2739" spans="1:13" x14ac:dyDescent="0.25">
      <c r="A2739">
        <v>6892138</v>
      </c>
      <c r="B2739" t="s">
        <v>10496</v>
      </c>
      <c r="C2739" t="str">
        <f>"9781478015499"</f>
        <v>9781478015499</v>
      </c>
      <c r="D2739" t="str">
        <f>"9781478092605"</f>
        <v>9781478092605</v>
      </c>
      <c r="E2739" t="s">
        <v>3113</v>
      </c>
      <c r="F2739" s="1">
        <v>44652</v>
      </c>
      <c r="G2739" t="s">
        <v>10497</v>
      </c>
      <c r="H2739" t="s">
        <v>246</v>
      </c>
      <c r="I2739" t="s">
        <v>10498</v>
      </c>
      <c r="J2739">
        <v>791.43023309199998</v>
      </c>
      <c r="L2739" t="s">
        <v>20</v>
      </c>
      <c r="M2739" t="s">
        <v>10499</v>
      </c>
    </row>
    <row r="2740" spans="1:13" x14ac:dyDescent="0.25">
      <c r="A2740">
        <v>6892156</v>
      </c>
      <c r="B2740" t="s">
        <v>10500</v>
      </c>
      <c r="C2740" t="str">
        <f>"9783658364793"</f>
        <v>9783658364793</v>
      </c>
      <c r="D2740" t="str">
        <f>"9783658364809"</f>
        <v>9783658364809</v>
      </c>
      <c r="E2740" t="s">
        <v>4472</v>
      </c>
      <c r="F2740" s="1">
        <v>44684</v>
      </c>
      <c r="G2740" t="s">
        <v>10501</v>
      </c>
      <c r="H2740" t="s">
        <v>1753</v>
      </c>
      <c r="I2740" t="s">
        <v>6039</v>
      </c>
      <c r="L2740" t="s">
        <v>291</v>
      </c>
      <c r="M2740" t="s">
        <v>10502</v>
      </c>
    </row>
    <row r="2741" spans="1:13" x14ac:dyDescent="0.25">
      <c r="A2741">
        <v>6892216</v>
      </c>
      <c r="B2741" t="s">
        <v>10503</v>
      </c>
      <c r="C2741" t="str">
        <f>"9789811690235"</f>
        <v>9789811690235</v>
      </c>
      <c r="D2741" t="str">
        <f>"9789811690242"</f>
        <v>9789811690242</v>
      </c>
      <c r="E2741" t="s">
        <v>4099</v>
      </c>
      <c r="F2741" s="1">
        <v>44611</v>
      </c>
      <c r="G2741" t="s">
        <v>10504</v>
      </c>
      <c r="H2741" t="s">
        <v>1753</v>
      </c>
      <c r="I2741" t="s">
        <v>4753</v>
      </c>
      <c r="L2741" t="s">
        <v>20</v>
      </c>
      <c r="M2741" t="s">
        <v>10505</v>
      </c>
    </row>
    <row r="2742" spans="1:13" x14ac:dyDescent="0.25">
      <c r="A2742">
        <v>6892674</v>
      </c>
      <c r="B2742" t="s">
        <v>10506</v>
      </c>
      <c r="C2742" t="str">
        <f>"9783030934286"</f>
        <v>9783030934286</v>
      </c>
      <c r="D2742" t="str">
        <f>"9783030934293"</f>
        <v>9783030934293</v>
      </c>
      <c r="E2742" t="s">
        <v>2905</v>
      </c>
      <c r="F2742" s="1">
        <v>44613</v>
      </c>
      <c r="G2742" t="s">
        <v>10507</v>
      </c>
      <c r="H2742" t="s">
        <v>363</v>
      </c>
      <c r="I2742" t="s">
        <v>8869</v>
      </c>
      <c r="L2742" t="s">
        <v>20</v>
      </c>
      <c r="M2742" t="s">
        <v>10508</v>
      </c>
    </row>
    <row r="2743" spans="1:13" x14ac:dyDescent="0.25">
      <c r="A2743">
        <v>6892777</v>
      </c>
      <c r="B2743" t="s">
        <v>10509</v>
      </c>
      <c r="C2743" t="str">
        <f>"9781646421695"</f>
        <v>9781646421695</v>
      </c>
      <c r="D2743" t="str">
        <f>"9781646421701"</f>
        <v>9781646421701</v>
      </c>
      <c r="E2743" t="s">
        <v>10510</v>
      </c>
      <c r="F2743" s="1">
        <v>44319</v>
      </c>
      <c r="G2743" t="s">
        <v>10511</v>
      </c>
      <c r="H2743" t="s">
        <v>139</v>
      </c>
      <c r="I2743" t="s">
        <v>10512</v>
      </c>
      <c r="J2743">
        <v>978.90099999999995</v>
      </c>
      <c r="K2743" t="s">
        <v>10513</v>
      </c>
      <c r="L2743" t="s">
        <v>20</v>
      </c>
      <c r="M2743" t="s">
        <v>10514</v>
      </c>
    </row>
    <row r="2744" spans="1:13" x14ac:dyDescent="0.25">
      <c r="A2744">
        <v>6892778</v>
      </c>
      <c r="B2744" t="s">
        <v>10515</v>
      </c>
      <c r="C2744" t="str">
        <f>"9781607328131"</f>
        <v>9781607328131</v>
      </c>
      <c r="D2744" t="str">
        <f>"9781646420025"</f>
        <v>9781646420025</v>
      </c>
      <c r="E2744" t="s">
        <v>10510</v>
      </c>
      <c r="F2744" s="1">
        <v>43882</v>
      </c>
      <c r="G2744" t="s">
        <v>10516</v>
      </c>
      <c r="H2744" t="s">
        <v>5726</v>
      </c>
      <c r="I2744" t="s">
        <v>10517</v>
      </c>
      <c r="J2744">
        <v>305.8</v>
      </c>
      <c r="K2744" t="s">
        <v>10518</v>
      </c>
      <c r="L2744" t="s">
        <v>20</v>
      </c>
      <c r="M2744" t="s">
        <v>10519</v>
      </c>
    </row>
    <row r="2745" spans="1:13" x14ac:dyDescent="0.25">
      <c r="A2745">
        <v>6892789</v>
      </c>
      <c r="B2745" t="s">
        <v>10520</v>
      </c>
      <c r="C2745" t="str">
        <f>"9781646421312"</f>
        <v>9781646421312</v>
      </c>
      <c r="D2745" t="str">
        <f>"9781646421329"</f>
        <v>9781646421329</v>
      </c>
      <c r="E2745" t="s">
        <v>10510</v>
      </c>
      <c r="F2745" s="1">
        <v>44348</v>
      </c>
      <c r="G2745" t="s">
        <v>10521</v>
      </c>
      <c r="H2745" t="s">
        <v>408</v>
      </c>
      <c r="I2745" t="s">
        <v>10522</v>
      </c>
      <c r="J2745">
        <v>355.02</v>
      </c>
      <c r="K2745" t="s">
        <v>10523</v>
      </c>
      <c r="L2745" t="s">
        <v>20</v>
      </c>
      <c r="M2745" t="s">
        <v>10524</v>
      </c>
    </row>
    <row r="2746" spans="1:13" x14ac:dyDescent="0.25">
      <c r="A2746">
        <v>6893332</v>
      </c>
      <c r="B2746" t="s">
        <v>10525</v>
      </c>
      <c r="C2746" t="str">
        <f>"9783030670238"</f>
        <v>9783030670238</v>
      </c>
      <c r="D2746" t="str">
        <f>"9783030670245"</f>
        <v>9783030670245</v>
      </c>
      <c r="E2746" t="s">
        <v>2905</v>
      </c>
      <c r="F2746" s="1">
        <v>44616</v>
      </c>
      <c r="G2746" t="s">
        <v>10526</v>
      </c>
      <c r="H2746" t="s">
        <v>10527</v>
      </c>
      <c r="I2746" t="s">
        <v>4181</v>
      </c>
      <c r="J2746">
        <v>6.31</v>
      </c>
      <c r="L2746" t="s">
        <v>20</v>
      </c>
      <c r="M2746" t="s">
        <v>10528</v>
      </c>
    </row>
    <row r="2747" spans="1:13" x14ac:dyDescent="0.25">
      <c r="A2747">
        <v>6893818</v>
      </c>
      <c r="B2747" t="s">
        <v>10529</v>
      </c>
      <c r="C2747" t="str">
        <f>""</f>
        <v/>
      </c>
      <c r="D2747" t="str">
        <f>"9783422981010"</f>
        <v>9783422981010</v>
      </c>
      <c r="E2747" t="s">
        <v>7656</v>
      </c>
      <c r="F2747" s="1">
        <v>43654</v>
      </c>
      <c r="G2747" t="s">
        <v>10530</v>
      </c>
      <c r="H2747" t="s">
        <v>10531</v>
      </c>
      <c r="L2747" t="s">
        <v>291</v>
      </c>
      <c r="M2747" t="s">
        <v>10532</v>
      </c>
    </row>
    <row r="2748" spans="1:13" x14ac:dyDescent="0.25">
      <c r="A2748">
        <v>6894509</v>
      </c>
      <c r="B2748" t="s">
        <v>10533</v>
      </c>
      <c r="C2748" t="str">
        <f>"9783030696900"</f>
        <v>9783030696900</v>
      </c>
      <c r="D2748" t="str">
        <f>"9783030696917"</f>
        <v>9783030696917</v>
      </c>
      <c r="E2748" t="s">
        <v>2905</v>
      </c>
      <c r="F2748" s="1">
        <v>44650</v>
      </c>
      <c r="G2748" t="s">
        <v>10534</v>
      </c>
      <c r="H2748" t="s">
        <v>363</v>
      </c>
      <c r="I2748" t="s">
        <v>4529</v>
      </c>
      <c r="J2748">
        <v>379.26</v>
      </c>
      <c r="L2748" t="s">
        <v>20</v>
      </c>
      <c r="M2748" t="s">
        <v>10535</v>
      </c>
    </row>
    <row r="2749" spans="1:13" x14ac:dyDescent="0.25">
      <c r="A2749">
        <v>6894681</v>
      </c>
      <c r="B2749" t="s">
        <v>10536</v>
      </c>
      <c r="C2749" t="str">
        <f>"9780520379756"</f>
        <v>9780520379756</v>
      </c>
      <c r="D2749" t="str">
        <f>"9780520976900"</f>
        <v>9780520976900</v>
      </c>
      <c r="E2749" t="s">
        <v>10537</v>
      </c>
      <c r="F2749" s="1">
        <v>44355</v>
      </c>
      <c r="G2749" t="s">
        <v>10538</v>
      </c>
      <c r="H2749" t="s">
        <v>239</v>
      </c>
      <c r="J2749">
        <v>342.56942084999997</v>
      </c>
      <c r="L2749" t="s">
        <v>20</v>
      </c>
      <c r="M2749" t="s">
        <v>10539</v>
      </c>
    </row>
    <row r="2750" spans="1:13" x14ac:dyDescent="0.25">
      <c r="A2750">
        <v>6894690</v>
      </c>
      <c r="B2750" t="s">
        <v>10540</v>
      </c>
      <c r="C2750" t="str">
        <f>"9780520380530"</f>
        <v>9780520380530</v>
      </c>
      <c r="D2750" t="str">
        <f>"9780520380547"</f>
        <v>9780520380547</v>
      </c>
      <c r="E2750" t="s">
        <v>10537</v>
      </c>
      <c r="F2750" s="1">
        <v>44341</v>
      </c>
      <c r="G2750" t="s">
        <v>10541</v>
      </c>
      <c r="H2750" t="s">
        <v>139</v>
      </c>
      <c r="J2750">
        <v>938.01</v>
      </c>
      <c r="L2750" t="s">
        <v>20</v>
      </c>
      <c r="M2750" t="s">
        <v>10542</v>
      </c>
    </row>
    <row r="2751" spans="1:13" x14ac:dyDescent="0.25">
      <c r="A2751">
        <v>6894710</v>
      </c>
      <c r="B2751" t="s">
        <v>10543</v>
      </c>
      <c r="C2751" t="str">
        <f>"9780520382541"</f>
        <v>9780520382541</v>
      </c>
      <c r="D2751" t="str">
        <f>"9780520382558"</f>
        <v>9780520382558</v>
      </c>
      <c r="E2751" t="s">
        <v>10537</v>
      </c>
      <c r="F2751" s="1">
        <v>44369</v>
      </c>
      <c r="G2751" t="s">
        <v>10544</v>
      </c>
      <c r="H2751" t="s">
        <v>70</v>
      </c>
      <c r="J2751">
        <v>895.63139999999999</v>
      </c>
      <c r="L2751" t="s">
        <v>20</v>
      </c>
      <c r="M2751" t="s">
        <v>10545</v>
      </c>
    </row>
    <row r="2752" spans="1:13" x14ac:dyDescent="0.25">
      <c r="A2752">
        <v>6894846</v>
      </c>
      <c r="B2752" t="s">
        <v>10546</v>
      </c>
      <c r="C2752" t="str">
        <f>"9780520380592"</f>
        <v>9780520380592</v>
      </c>
      <c r="D2752" t="str">
        <f>"9780520380608"</f>
        <v>9780520380608</v>
      </c>
      <c r="E2752" t="s">
        <v>10537</v>
      </c>
      <c r="F2752" s="1">
        <v>44425</v>
      </c>
      <c r="G2752" t="s">
        <v>10547</v>
      </c>
      <c r="H2752" t="s">
        <v>30</v>
      </c>
      <c r="J2752">
        <v>325.21095692</v>
      </c>
      <c r="L2752" t="s">
        <v>20</v>
      </c>
      <c r="M2752" t="s">
        <v>10548</v>
      </c>
    </row>
    <row r="2753" spans="1:13" x14ac:dyDescent="0.25">
      <c r="A2753">
        <v>6894889</v>
      </c>
      <c r="B2753" t="s">
        <v>10549</v>
      </c>
      <c r="C2753" t="str">
        <f>"9780520377066"</f>
        <v>9780520377066</v>
      </c>
      <c r="D2753" t="str">
        <f>"9780520976399"</f>
        <v>9780520976399</v>
      </c>
      <c r="E2753" t="s">
        <v>10537</v>
      </c>
      <c r="F2753" s="1">
        <v>44362</v>
      </c>
      <c r="G2753" t="s">
        <v>10550</v>
      </c>
      <c r="H2753" t="s">
        <v>246</v>
      </c>
      <c r="J2753">
        <v>781.54209547999994</v>
      </c>
      <c r="L2753" t="s">
        <v>20</v>
      </c>
      <c r="M2753" t="s">
        <v>10551</v>
      </c>
    </row>
    <row r="2754" spans="1:13" x14ac:dyDescent="0.25">
      <c r="A2754">
        <v>6895000</v>
      </c>
      <c r="B2754" t="s">
        <v>10552</v>
      </c>
      <c r="C2754" t="str">
        <f>"9780520381971"</f>
        <v>9780520381971</v>
      </c>
      <c r="D2754" t="str">
        <f>"9780520381995"</f>
        <v>9780520381995</v>
      </c>
      <c r="E2754" t="s">
        <v>10537</v>
      </c>
      <c r="F2754" s="1">
        <v>44404</v>
      </c>
      <c r="G2754" t="s">
        <v>10553</v>
      </c>
      <c r="H2754" t="s">
        <v>64</v>
      </c>
      <c r="J2754">
        <v>393.9309510905</v>
      </c>
      <c r="L2754" t="s">
        <v>20</v>
      </c>
      <c r="M2754" t="s">
        <v>10554</v>
      </c>
    </row>
    <row r="2755" spans="1:13" x14ac:dyDescent="0.25">
      <c r="A2755">
        <v>6895014</v>
      </c>
      <c r="B2755" t="s">
        <v>10555</v>
      </c>
      <c r="C2755" t="str">
        <f>"9780520380189"</f>
        <v>9780520380189</v>
      </c>
      <c r="D2755" t="str">
        <f>"9780520380196"</f>
        <v>9780520380196</v>
      </c>
      <c r="E2755" t="s">
        <v>10537</v>
      </c>
      <c r="F2755" s="1">
        <v>44285</v>
      </c>
      <c r="G2755" t="s">
        <v>10556</v>
      </c>
      <c r="H2755" t="s">
        <v>139</v>
      </c>
      <c r="J2755">
        <v>956.62015399999996</v>
      </c>
      <c r="L2755" t="s">
        <v>20</v>
      </c>
      <c r="M2755" t="s">
        <v>10557</v>
      </c>
    </row>
    <row r="2756" spans="1:13" x14ac:dyDescent="0.25">
      <c r="A2756">
        <v>6896336</v>
      </c>
      <c r="B2756" t="s">
        <v>10558</v>
      </c>
      <c r="C2756" t="str">
        <f>""</f>
        <v/>
      </c>
      <c r="D2756" t="str">
        <f>"9782759235360"</f>
        <v>9782759235360</v>
      </c>
      <c r="E2756" t="s">
        <v>2434</v>
      </c>
      <c r="F2756" s="1">
        <v>44617</v>
      </c>
      <c r="G2756" t="s">
        <v>10559</v>
      </c>
      <c r="H2756" t="s">
        <v>30</v>
      </c>
      <c r="L2756" t="s">
        <v>20</v>
      </c>
      <c r="M2756" t="s">
        <v>10560</v>
      </c>
    </row>
    <row r="2757" spans="1:13" x14ac:dyDescent="0.25">
      <c r="A2757">
        <v>6896492</v>
      </c>
      <c r="B2757" t="s">
        <v>10561</v>
      </c>
      <c r="C2757" t="str">
        <f>"9780472133161"</f>
        <v>9780472133161</v>
      </c>
      <c r="D2757" t="str">
        <f>"9780472902606"</f>
        <v>9780472902606</v>
      </c>
      <c r="E2757" t="s">
        <v>6708</v>
      </c>
      <c r="F2757" s="1">
        <v>44620</v>
      </c>
      <c r="G2757" t="s">
        <v>10562</v>
      </c>
      <c r="H2757" t="s">
        <v>30</v>
      </c>
      <c r="I2757" t="s">
        <v>10563</v>
      </c>
      <c r="J2757" t="s">
        <v>10564</v>
      </c>
      <c r="L2757" t="s">
        <v>20</v>
      </c>
      <c r="M2757" t="s">
        <v>10565</v>
      </c>
    </row>
    <row r="2758" spans="1:13" x14ac:dyDescent="0.25">
      <c r="A2758">
        <v>6897051</v>
      </c>
      <c r="B2758" t="s">
        <v>10566</v>
      </c>
      <c r="C2758" t="str">
        <f>"9783030910167"</f>
        <v>9783030910167</v>
      </c>
      <c r="D2758" t="str">
        <f>"9783030910174"</f>
        <v>9783030910174</v>
      </c>
      <c r="E2758" t="s">
        <v>2905</v>
      </c>
      <c r="F2758" s="1">
        <v>44659</v>
      </c>
      <c r="G2758" t="s">
        <v>10567</v>
      </c>
      <c r="H2758" t="s">
        <v>851</v>
      </c>
      <c r="I2758" t="s">
        <v>10568</v>
      </c>
      <c r="L2758" t="s">
        <v>20</v>
      </c>
      <c r="M2758" t="s">
        <v>10569</v>
      </c>
    </row>
    <row r="2759" spans="1:13" x14ac:dyDescent="0.25">
      <c r="A2759">
        <v>6897088</v>
      </c>
      <c r="B2759" t="s">
        <v>10570</v>
      </c>
      <c r="C2759" t="str">
        <f>"9783030951351"</f>
        <v>9783030951351</v>
      </c>
      <c r="D2759" t="str">
        <f>"9783030951368"</f>
        <v>9783030951368</v>
      </c>
      <c r="E2759" t="s">
        <v>2905</v>
      </c>
      <c r="F2759" s="1">
        <v>44663</v>
      </c>
      <c r="G2759" t="s">
        <v>10571</v>
      </c>
      <c r="H2759" t="s">
        <v>4915</v>
      </c>
      <c r="I2759" t="s">
        <v>10572</v>
      </c>
      <c r="L2759" t="s">
        <v>20</v>
      </c>
      <c r="M2759" t="s">
        <v>10573</v>
      </c>
    </row>
    <row r="2760" spans="1:13" x14ac:dyDescent="0.25">
      <c r="A2760">
        <v>6897094</v>
      </c>
      <c r="B2760" t="s">
        <v>10574</v>
      </c>
      <c r="C2760" t="str">
        <f>"9789811680274"</f>
        <v>9789811680274</v>
      </c>
      <c r="D2760" t="str">
        <f>"9789811680281"</f>
        <v>9789811680281</v>
      </c>
      <c r="E2760" t="s">
        <v>4099</v>
      </c>
      <c r="F2760" s="1">
        <v>44688</v>
      </c>
      <c r="G2760" t="s">
        <v>10575</v>
      </c>
      <c r="H2760" t="s">
        <v>5094</v>
      </c>
      <c r="I2760" t="s">
        <v>10576</v>
      </c>
      <c r="L2760" t="s">
        <v>20</v>
      </c>
      <c r="M2760" t="s">
        <v>10577</v>
      </c>
    </row>
    <row r="2761" spans="1:13" x14ac:dyDescent="0.25">
      <c r="A2761">
        <v>6897842</v>
      </c>
      <c r="B2761" t="s">
        <v>10578</v>
      </c>
      <c r="C2761" t="str">
        <f>"9783030919986"</f>
        <v>9783030919986</v>
      </c>
      <c r="D2761" t="str">
        <f>"9783030919993"</f>
        <v>9783030919993</v>
      </c>
      <c r="E2761" t="s">
        <v>2905</v>
      </c>
      <c r="F2761" s="1">
        <v>44656</v>
      </c>
      <c r="G2761" t="s">
        <v>10579</v>
      </c>
      <c r="H2761" t="s">
        <v>30</v>
      </c>
      <c r="I2761" t="s">
        <v>4734</v>
      </c>
      <c r="J2761">
        <v>327.07040000000001</v>
      </c>
      <c r="L2761" t="s">
        <v>20</v>
      </c>
      <c r="M2761" t="s">
        <v>10580</v>
      </c>
    </row>
    <row r="2762" spans="1:13" x14ac:dyDescent="0.25">
      <c r="A2762">
        <v>6898000</v>
      </c>
      <c r="B2762" t="s">
        <v>10581</v>
      </c>
      <c r="C2762" t="str">
        <f>"9789811678295"</f>
        <v>9789811678295</v>
      </c>
      <c r="D2762" t="str">
        <f>"9789811678301"</f>
        <v>9789811678301</v>
      </c>
      <c r="E2762" t="s">
        <v>4099</v>
      </c>
      <c r="F2762" s="1">
        <v>44674</v>
      </c>
      <c r="G2762" t="s">
        <v>10582</v>
      </c>
      <c r="H2762" t="s">
        <v>1753</v>
      </c>
      <c r="I2762" t="s">
        <v>8379</v>
      </c>
      <c r="L2762" t="s">
        <v>20</v>
      </c>
      <c r="M2762" t="s">
        <v>10583</v>
      </c>
    </row>
    <row r="2763" spans="1:13" x14ac:dyDescent="0.25">
      <c r="A2763">
        <v>6898001</v>
      </c>
      <c r="B2763" t="s">
        <v>10584</v>
      </c>
      <c r="C2763" t="str">
        <f>"9781800642010"</f>
        <v>9781800642010</v>
      </c>
      <c r="D2763" t="str">
        <f>"9781800642027"</f>
        <v>9781800642027</v>
      </c>
      <c r="E2763" t="s">
        <v>2270</v>
      </c>
      <c r="F2763" s="1">
        <v>44585</v>
      </c>
      <c r="G2763" t="s">
        <v>10585</v>
      </c>
      <c r="H2763" t="s">
        <v>363</v>
      </c>
      <c r="L2763" t="s">
        <v>20</v>
      </c>
      <c r="M2763" t="s">
        <v>10586</v>
      </c>
    </row>
    <row r="2764" spans="1:13" x14ac:dyDescent="0.25">
      <c r="A2764">
        <v>6898002</v>
      </c>
      <c r="B2764" t="s">
        <v>10587</v>
      </c>
      <c r="C2764" t="str">
        <f>"9781800641891"</f>
        <v>9781800641891</v>
      </c>
      <c r="D2764" t="str">
        <f>"9781800641907"</f>
        <v>9781800641907</v>
      </c>
      <c r="E2764" t="s">
        <v>2270</v>
      </c>
      <c r="F2764" s="1">
        <v>44606</v>
      </c>
      <c r="G2764" t="s">
        <v>10588</v>
      </c>
      <c r="H2764" t="s">
        <v>70</v>
      </c>
      <c r="J2764">
        <v>801.95</v>
      </c>
      <c r="L2764" t="s">
        <v>20</v>
      </c>
      <c r="M2764" t="s">
        <v>10589</v>
      </c>
    </row>
    <row r="2765" spans="1:13" x14ac:dyDescent="0.25">
      <c r="A2765">
        <v>6898003</v>
      </c>
      <c r="B2765" t="s">
        <v>10590</v>
      </c>
      <c r="C2765" t="str">
        <f>"9781800643277"</f>
        <v>9781800643277</v>
      </c>
      <c r="D2765" t="str">
        <f>"9781800643284"</f>
        <v>9781800643284</v>
      </c>
      <c r="E2765" t="s">
        <v>2270</v>
      </c>
      <c r="F2765" s="1">
        <v>44564</v>
      </c>
      <c r="G2765" t="s">
        <v>4092</v>
      </c>
      <c r="H2765" t="s">
        <v>4309</v>
      </c>
      <c r="L2765" t="s">
        <v>20</v>
      </c>
      <c r="M2765" t="s">
        <v>10591</v>
      </c>
    </row>
    <row r="2766" spans="1:13" x14ac:dyDescent="0.25">
      <c r="A2766">
        <v>6898657</v>
      </c>
      <c r="B2766" t="s">
        <v>10592</v>
      </c>
      <c r="C2766" t="str">
        <f>"9781786940421"</f>
        <v>9781786940421</v>
      </c>
      <c r="D2766" t="str">
        <f>"9781786948243"</f>
        <v>9781786948243</v>
      </c>
      <c r="E2766" t="s">
        <v>4290</v>
      </c>
      <c r="F2766" s="1">
        <v>43252</v>
      </c>
      <c r="G2766" t="s">
        <v>10593</v>
      </c>
      <c r="H2766" t="s">
        <v>70</v>
      </c>
      <c r="J2766">
        <v>840.90091399999994</v>
      </c>
      <c r="L2766" t="s">
        <v>20</v>
      </c>
      <c r="M2766" t="s">
        <v>10594</v>
      </c>
    </row>
    <row r="2767" spans="1:13" x14ac:dyDescent="0.25">
      <c r="A2767">
        <v>6898660</v>
      </c>
      <c r="B2767" t="s">
        <v>10595</v>
      </c>
      <c r="C2767" t="str">
        <f>"9781846319464"</f>
        <v>9781846319464</v>
      </c>
      <c r="D2767" t="str">
        <f>"9781781385678"</f>
        <v>9781781385678</v>
      </c>
      <c r="E2767" t="s">
        <v>4290</v>
      </c>
      <c r="F2767" s="1">
        <v>41575</v>
      </c>
      <c r="G2767" t="s">
        <v>10596</v>
      </c>
      <c r="H2767" t="s">
        <v>70</v>
      </c>
      <c r="J2767">
        <v>843.91399999999999</v>
      </c>
      <c r="L2767" t="s">
        <v>20</v>
      </c>
      <c r="M2767" t="s">
        <v>10597</v>
      </c>
    </row>
    <row r="2768" spans="1:13" x14ac:dyDescent="0.25">
      <c r="A2768">
        <v>6898667</v>
      </c>
      <c r="B2768" t="s">
        <v>10598</v>
      </c>
      <c r="C2768" t="str">
        <f>"9781846318351"</f>
        <v>9781846318351</v>
      </c>
      <c r="D2768" t="str">
        <f>"9781781386590"</f>
        <v>9781781386590</v>
      </c>
      <c r="E2768" t="s">
        <v>4290</v>
      </c>
      <c r="F2768" s="1">
        <v>41258</v>
      </c>
      <c r="G2768" t="s">
        <v>10599</v>
      </c>
      <c r="H2768" t="s">
        <v>64</v>
      </c>
      <c r="J2768">
        <v>306.48309440000003</v>
      </c>
      <c r="L2768" t="s">
        <v>20</v>
      </c>
      <c r="M2768" t="s">
        <v>10600</v>
      </c>
    </row>
    <row r="2769" spans="1:13" x14ac:dyDescent="0.25">
      <c r="A2769">
        <v>6898672</v>
      </c>
      <c r="B2769" t="s">
        <v>10601</v>
      </c>
      <c r="C2769" t="str">
        <f>"9781781381939"</f>
        <v>9781781381939</v>
      </c>
      <c r="D2769" t="str">
        <f>"9781781382035"</f>
        <v>9781781382035</v>
      </c>
      <c r="E2769" t="s">
        <v>4290</v>
      </c>
      <c r="F2769" s="1">
        <v>42206</v>
      </c>
      <c r="G2769" t="s">
        <v>10602</v>
      </c>
      <c r="H2769" t="s">
        <v>64</v>
      </c>
      <c r="J2769" t="s">
        <v>10603</v>
      </c>
      <c r="L2769" t="s">
        <v>20</v>
      </c>
      <c r="M2769" t="s">
        <v>10604</v>
      </c>
    </row>
    <row r="2770" spans="1:13" x14ac:dyDescent="0.25">
      <c r="A2770">
        <v>6898677</v>
      </c>
      <c r="B2770" t="s">
        <v>10605</v>
      </c>
      <c r="C2770" t="str">
        <f>"9781846318221"</f>
        <v>9781846318221</v>
      </c>
      <c r="D2770" t="str">
        <f>"9781781387962"</f>
        <v>9781781387962</v>
      </c>
      <c r="E2770" t="s">
        <v>4290</v>
      </c>
      <c r="F2770" s="1">
        <v>41012</v>
      </c>
      <c r="G2770" t="s">
        <v>10606</v>
      </c>
      <c r="H2770" t="s">
        <v>139</v>
      </c>
      <c r="J2770">
        <v>946.08299999999997</v>
      </c>
      <c r="L2770" t="s">
        <v>20</v>
      </c>
      <c r="M2770" t="s">
        <v>10607</v>
      </c>
    </row>
    <row r="2771" spans="1:13" x14ac:dyDescent="0.25">
      <c r="A2771">
        <v>6898681</v>
      </c>
      <c r="B2771" t="s">
        <v>10608</v>
      </c>
      <c r="C2771" t="str">
        <f>"9780853238393"</f>
        <v>9780853238393</v>
      </c>
      <c r="D2771" t="str">
        <f>"9781781387733"</f>
        <v>9781781387733</v>
      </c>
      <c r="E2771" t="s">
        <v>4290</v>
      </c>
      <c r="F2771" s="1">
        <v>39022</v>
      </c>
      <c r="G2771" t="s">
        <v>10609</v>
      </c>
      <c r="H2771" t="s">
        <v>70</v>
      </c>
      <c r="J2771">
        <v>823.80935609999995</v>
      </c>
      <c r="L2771" t="s">
        <v>20</v>
      </c>
      <c r="M2771" t="s">
        <v>10610</v>
      </c>
    </row>
    <row r="2772" spans="1:13" x14ac:dyDescent="0.25">
      <c r="A2772">
        <v>6898682</v>
      </c>
      <c r="B2772" t="s">
        <v>10611</v>
      </c>
      <c r="C2772" t="str">
        <f>"9781846314995"</f>
        <v>9781846314995</v>
      </c>
      <c r="D2772" t="str">
        <f>"9781781386705"</f>
        <v>9781781386705</v>
      </c>
      <c r="E2772" t="s">
        <v>4290</v>
      </c>
      <c r="F2772" s="1">
        <v>40520</v>
      </c>
      <c r="G2772" t="s">
        <v>10612</v>
      </c>
      <c r="H2772" t="s">
        <v>70</v>
      </c>
      <c r="J2772">
        <v>843.91408999999999</v>
      </c>
      <c r="L2772" t="s">
        <v>20</v>
      </c>
      <c r="M2772" t="s">
        <v>10613</v>
      </c>
    </row>
    <row r="2773" spans="1:13" x14ac:dyDescent="0.25">
      <c r="A2773">
        <v>6898683</v>
      </c>
      <c r="B2773" t="s">
        <v>10614</v>
      </c>
      <c r="C2773" t="str">
        <f>"9781781380307"</f>
        <v>9781781380307</v>
      </c>
      <c r="D2773" t="str">
        <f>"9781781385968"</f>
        <v>9781781385968</v>
      </c>
      <c r="E2773" t="s">
        <v>4290</v>
      </c>
      <c r="F2773" s="1">
        <v>41808</v>
      </c>
      <c r="G2773" t="s">
        <v>10615</v>
      </c>
      <c r="H2773" t="s">
        <v>70</v>
      </c>
      <c r="J2773">
        <v>809.30399999999997</v>
      </c>
      <c r="L2773" t="s">
        <v>20</v>
      </c>
      <c r="M2773" t="s">
        <v>10616</v>
      </c>
    </row>
    <row r="2774" spans="1:13" x14ac:dyDescent="0.25">
      <c r="A2774">
        <v>6898684</v>
      </c>
      <c r="B2774" t="s">
        <v>10617</v>
      </c>
      <c r="C2774" t="str">
        <f>"9781781383094"</f>
        <v>9781781383094</v>
      </c>
      <c r="D2774" t="str">
        <f>"9781781388624"</f>
        <v>9781781388624</v>
      </c>
      <c r="E2774" t="s">
        <v>4290</v>
      </c>
      <c r="F2774" s="1">
        <v>42552</v>
      </c>
      <c r="G2774" t="s">
        <v>10618</v>
      </c>
      <c r="H2774" t="s">
        <v>64</v>
      </c>
      <c r="J2774">
        <v>305.80094400000002</v>
      </c>
      <c r="L2774" t="s">
        <v>20</v>
      </c>
      <c r="M2774" t="s">
        <v>10619</v>
      </c>
    </row>
    <row r="2775" spans="1:13" x14ac:dyDescent="0.25">
      <c r="A2775">
        <v>6898686</v>
      </c>
      <c r="B2775" t="s">
        <v>10620</v>
      </c>
      <c r="C2775" t="str">
        <f>"9781781381717"</f>
        <v>9781781381717</v>
      </c>
      <c r="D2775" t="str">
        <f>"9781781384633"</f>
        <v>9781781384633</v>
      </c>
      <c r="E2775" t="s">
        <v>4290</v>
      </c>
      <c r="F2775" s="1">
        <v>42180</v>
      </c>
      <c r="G2775" t="s">
        <v>10621</v>
      </c>
      <c r="H2775" t="s">
        <v>64</v>
      </c>
      <c r="J2775">
        <v>303.48239999999998</v>
      </c>
      <c r="L2775" t="s">
        <v>20</v>
      </c>
      <c r="M2775" t="s">
        <v>10622</v>
      </c>
    </row>
    <row r="2776" spans="1:13" x14ac:dyDescent="0.25">
      <c r="A2776">
        <v>6898701</v>
      </c>
      <c r="B2776" t="s">
        <v>10623</v>
      </c>
      <c r="C2776" t="str">
        <f>"9781846319761"</f>
        <v>9781846319761</v>
      </c>
      <c r="D2776" t="str">
        <f>"9781781385623"</f>
        <v>9781781385623</v>
      </c>
      <c r="E2776" t="s">
        <v>4290</v>
      </c>
      <c r="F2776" s="1">
        <v>41591</v>
      </c>
      <c r="G2776" t="s">
        <v>10624</v>
      </c>
      <c r="H2776" t="s">
        <v>70</v>
      </c>
      <c r="L2776" t="s">
        <v>20</v>
      </c>
      <c r="M2776" t="s">
        <v>10625</v>
      </c>
    </row>
    <row r="2777" spans="1:13" x14ac:dyDescent="0.25">
      <c r="A2777">
        <v>6898703</v>
      </c>
      <c r="B2777" t="s">
        <v>10626</v>
      </c>
      <c r="C2777" t="str">
        <f>"9781781381878"</f>
        <v>9781781381878</v>
      </c>
      <c r="D2777" t="str">
        <f>"9781781384695"</f>
        <v>9781781384695</v>
      </c>
      <c r="E2777" t="s">
        <v>4290</v>
      </c>
      <c r="F2777" s="1">
        <v>42248</v>
      </c>
      <c r="G2777" t="s">
        <v>10627</v>
      </c>
      <c r="H2777" t="s">
        <v>70</v>
      </c>
      <c r="J2777">
        <v>821.00992870941502</v>
      </c>
      <c r="L2777" t="s">
        <v>20</v>
      </c>
      <c r="M2777" t="s">
        <v>10628</v>
      </c>
    </row>
    <row r="2778" spans="1:13" x14ac:dyDescent="0.25">
      <c r="A2778">
        <v>6898708</v>
      </c>
      <c r="B2778" t="s">
        <v>10629</v>
      </c>
      <c r="C2778" t="str">
        <f>"9781846319730"</f>
        <v>9781846319730</v>
      </c>
      <c r="D2778" t="str">
        <f>"9781781385760"</f>
        <v>9781781385760</v>
      </c>
      <c r="E2778" t="s">
        <v>4290</v>
      </c>
      <c r="F2778" s="1">
        <v>41516</v>
      </c>
      <c r="G2778" t="s">
        <v>10630</v>
      </c>
      <c r="H2778" t="s">
        <v>70</v>
      </c>
      <c r="I2778" t="s">
        <v>10631</v>
      </c>
      <c r="J2778">
        <v>843.00994000000003</v>
      </c>
      <c r="L2778" t="s">
        <v>20</v>
      </c>
      <c r="M2778" t="s">
        <v>10632</v>
      </c>
    </row>
    <row r="2779" spans="1:13" x14ac:dyDescent="0.25">
      <c r="A2779">
        <v>6898710</v>
      </c>
      <c r="B2779" t="s">
        <v>10633</v>
      </c>
      <c r="C2779" t="str">
        <f>"9781846318290"</f>
        <v>9781846318290</v>
      </c>
      <c r="D2779" t="str">
        <f>"9781781386361"</f>
        <v>9781781386361</v>
      </c>
      <c r="E2779" t="s">
        <v>4290</v>
      </c>
      <c r="F2779" s="1">
        <v>41233</v>
      </c>
      <c r="G2779" t="s">
        <v>10634</v>
      </c>
      <c r="H2779" t="s">
        <v>1624</v>
      </c>
      <c r="J2779">
        <v>362.10954090339999</v>
      </c>
      <c r="L2779" t="s">
        <v>20</v>
      </c>
      <c r="M2779" t="s">
        <v>10635</v>
      </c>
    </row>
    <row r="2780" spans="1:13" x14ac:dyDescent="0.25">
      <c r="A2780">
        <v>6898712</v>
      </c>
      <c r="B2780" t="s">
        <v>10636</v>
      </c>
      <c r="C2780" t="str">
        <f>"9781781380253"</f>
        <v>9781781380253</v>
      </c>
      <c r="D2780" t="str">
        <f>"9781781385982"</f>
        <v>9781781385982</v>
      </c>
      <c r="E2780" t="s">
        <v>4290</v>
      </c>
      <c r="F2780" s="1">
        <v>41787</v>
      </c>
      <c r="G2780" t="s">
        <v>10637</v>
      </c>
      <c r="H2780" t="s">
        <v>851</v>
      </c>
      <c r="J2780">
        <v>427.91</v>
      </c>
      <c r="L2780" t="s">
        <v>20</v>
      </c>
      <c r="M2780" t="s">
        <v>10638</v>
      </c>
    </row>
    <row r="2781" spans="1:13" x14ac:dyDescent="0.25">
      <c r="A2781">
        <v>6898723</v>
      </c>
      <c r="B2781" t="s">
        <v>10639</v>
      </c>
      <c r="C2781" t="str">
        <f>"9781786941343"</f>
        <v>9781786941343</v>
      </c>
      <c r="D2781" t="str">
        <f>"9781786949363"</f>
        <v>9781786949363</v>
      </c>
      <c r="E2781" t="s">
        <v>4290</v>
      </c>
      <c r="F2781" s="1">
        <v>43427</v>
      </c>
      <c r="G2781" t="s">
        <v>10640</v>
      </c>
      <c r="H2781" t="s">
        <v>139</v>
      </c>
      <c r="J2781">
        <v>946.08299999999997</v>
      </c>
      <c r="L2781" t="s">
        <v>20</v>
      </c>
      <c r="M2781" t="s">
        <v>10641</v>
      </c>
    </row>
    <row r="2782" spans="1:13" x14ac:dyDescent="0.25">
      <c r="A2782">
        <v>6898724</v>
      </c>
      <c r="B2782" t="s">
        <v>10642</v>
      </c>
      <c r="C2782" t="str">
        <f>"9781846317538"</f>
        <v>9781846317538</v>
      </c>
      <c r="D2782" t="str">
        <f>"9781781386095"</f>
        <v>9781781386095</v>
      </c>
      <c r="E2782" t="s">
        <v>4290</v>
      </c>
      <c r="F2782" s="1">
        <v>41054</v>
      </c>
      <c r="G2782" t="s">
        <v>10643</v>
      </c>
      <c r="H2782" t="s">
        <v>64</v>
      </c>
      <c r="J2782">
        <v>305.80097000000001</v>
      </c>
      <c r="L2782" t="s">
        <v>20</v>
      </c>
      <c r="M2782" t="s">
        <v>10644</v>
      </c>
    </row>
    <row r="2783" spans="1:13" x14ac:dyDescent="0.25">
      <c r="A2783">
        <v>6898726</v>
      </c>
      <c r="B2783" t="s">
        <v>10645</v>
      </c>
      <c r="C2783" t="str">
        <f>"9781846318702"</f>
        <v>9781846318702</v>
      </c>
      <c r="D2783" t="str">
        <f>"9781781386415"</f>
        <v>9781781386415</v>
      </c>
      <c r="E2783" t="s">
        <v>4290</v>
      </c>
      <c r="F2783" s="1">
        <v>41352</v>
      </c>
      <c r="G2783" t="s">
        <v>10646</v>
      </c>
      <c r="H2783" t="s">
        <v>64</v>
      </c>
      <c r="J2783">
        <v>305.90840945999997</v>
      </c>
      <c r="L2783" t="s">
        <v>20</v>
      </c>
      <c r="M2783" t="s">
        <v>10647</v>
      </c>
    </row>
    <row r="2784" spans="1:13" x14ac:dyDescent="0.25">
      <c r="A2784">
        <v>6898727</v>
      </c>
      <c r="B2784" t="s">
        <v>10648</v>
      </c>
      <c r="C2784" t="str">
        <f>"9781846318610"</f>
        <v>9781846318610</v>
      </c>
      <c r="D2784" t="str">
        <f>"9781781387665"</f>
        <v>9781781387665</v>
      </c>
      <c r="E2784" t="s">
        <v>4290</v>
      </c>
      <c r="F2784" s="1">
        <v>41352</v>
      </c>
      <c r="G2784" t="s">
        <v>10649</v>
      </c>
      <c r="H2784" t="s">
        <v>70</v>
      </c>
      <c r="J2784">
        <v>843.91399999999999</v>
      </c>
      <c r="L2784" t="s">
        <v>20</v>
      </c>
      <c r="M2784" t="s">
        <v>10650</v>
      </c>
    </row>
    <row r="2785" spans="1:13" x14ac:dyDescent="0.25">
      <c r="A2785">
        <v>6898728</v>
      </c>
      <c r="B2785" t="s">
        <v>10651</v>
      </c>
      <c r="C2785" t="str">
        <f>"9781800856202"</f>
        <v>9781800856202</v>
      </c>
      <c r="D2785" t="str">
        <f>"9781800855472"</f>
        <v>9781800855472</v>
      </c>
      <c r="E2785" t="s">
        <v>4290</v>
      </c>
      <c r="F2785" s="1">
        <v>44596</v>
      </c>
      <c r="G2785" t="s">
        <v>10652</v>
      </c>
      <c r="H2785" t="s">
        <v>246</v>
      </c>
      <c r="J2785">
        <v>709.72919999999999</v>
      </c>
      <c r="L2785" t="s">
        <v>20</v>
      </c>
      <c r="M2785" t="s">
        <v>10653</v>
      </c>
    </row>
    <row r="2786" spans="1:13" x14ac:dyDescent="0.25">
      <c r="A2786">
        <v>6898733</v>
      </c>
      <c r="B2786" t="s">
        <v>10654</v>
      </c>
      <c r="C2786" t="str">
        <f>"9781781383186"</f>
        <v>9781781383186</v>
      </c>
      <c r="D2786" t="str">
        <f>"9781781383537"</f>
        <v>9781781383537</v>
      </c>
      <c r="E2786" t="s">
        <v>4290</v>
      </c>
      <c r="F2786" s="1">
        <v>42736</v>
      </c>
      <c r="G2786" t="s">
        <v>10655</v>
      </c>
      <c r="H2786" t="s">
        <v>2368</v>
      </c>
      <c r="J2786" t="s">
        <v>10656</v>
      </c>
      <c r="L2786" t="s">
        <v>20</v>
      </c>
      <c r="M2786" t="s">
        <v>10657</v>
      </c>
    </row>
    <row r="2787" spans="1:13" x14ac:dyDescent="0.25">
      <c r="A2787">
        <v>6898737</v>
      </c>
      <c r="B2787" t="s">
        <v>10658</v>
      </c>
      <c r="C2787" t="str">
        <f>"9781846318436"</f>
        <v>9781846318436</v>
      </c>
      <c r="D2787" t="str">
        <f>"9781781388273"</f>
        <v>9781781388273</v>
      </c>
      <c r="E2787" t="s">
        <v>4290</v>
      </c>
      <c r="F2787" s="1">
        <v>41250</v>
      </c>
      <c r="G2787" t="s">
        <v>10659</v>
      </c>
      <c r="H2787" t="s">
        <v>16</v>
      </c>
      <c r="J2787">
        <v>194</v>
      </c>
      <c r="L2787" t="s">
        <v>20</v>
      </c>
      <c r="M2787" t="s">
        <v>10660</v>
      </c>
    </row>
    <row r="2788" spans="1:13" x14ac:dyDescent="0.25">
      <c r="A2788">
        <v>6898738</v>
      </c>
      <c r="B2788" t="s">
        <v>10661</v>
      </c>
      <c r="C2788" t="str">
        <f>"9781786941565"</f>
        <v>9781786941565</v>
      </c>
      <c r="D2788" t="str">
        <f>"9781786949523"</f>
        <v>9781786949523</v>
      </c>
      <c r="E2788" t="s">
        <v>4290</v>
      </c>
      <c r="F2788" s="1">
        <v>43466</v>
      </c>
      <c r="G2788" t="s">
        <v>10662</v>
      </c>
      <c r="H2788" t="s">
        <v>70</v>
      </c>
      <c r="J2788">
        <v>843.91209928700005</v>
      </c>
      <c r="L2788" t="s">
        <v>20</v>
      </c>
      <c r="M2788" t="s">
        <v>10663</v>
      </c>
    </row>
    <row r="2789" spans="1:13" x14ac:dyDescent="0.25">
      <c r="A2789">
        <v>6898741</v>
      </c>
      <c r="B2789" t="s">
        <v>10664</v>
      </c>
      <c r="C2789" t="str">
        <f>"9781781382684"</f>
        <v>9781781382684</v>
      </c>
      <c r="D2789" t="str">
        <f>"9781781384312"</f>
        <v>9781781384312</v>
      </c>
      <c r="E2789" t="s">
        <v>4290</v>
      </c>
      <c r="F2789" s="1">
        <v>42583</v>
      </c>
      <c r="G2789" t="s">
        <v>10665</v>
      </c>
      <c r="H2789" t="s">
        <v>2368</v>
      </c>
      <c r="J2789">
        <v>331</v>
      </c>
      <c r="L2789" t="s">
        <v>20</v>
      </c>
      <c r="M2789" t="s">
        <v>10666</v>
      </c>
    </row>
    <row r="2790" spans="1:13" x14ac:dyDescent="0.25">
      <c r="A2790">
        <v>6898750</v>
      </c>
      <c r="B2790" t="s">
        <v>10667</v>
      </c>
      <c r="C2790" t="str">
        <f>"9781846319587"</f>
        <v>9781846319587</v>
      </c>
      <c r="D2790" t="str">
        <f>"9781781385524"</f>
        <v>9781781385524</v>
      </c>
      <c r="E2790" t="s">
        <v>4290</v>
      </c>
      <c r="F2790" s="1">
        <v>41584</v>
      </c>
      <c r="G2790" t="s">
        <v>10668</v>
      </c>
      <c r="H2790" t="s">
        <v>70</v>
      </c>
      <c r="J2790">
        <v>820.93550903400001</v>
      </c>
      <c r="L2790" t="s">
        <v>20</v>
      </c>
      <c r="M2790" t="s">
        <v>10669</v>
      </c>
    </row>
    <row r="2791" spans="1:13" x14ac:dyDescent="0.25">
      <c r="A2791">
        <v>6898763</v>
      </c>
      <c r="B2791" t="s">
        <v>10670</v>
      </c>
      <c r="C2791" t="str">
        <f>"9781786941497"</f>
        <v>9781786941497</v>
      </c>
      <c r="D2791" t="str">
        <f>"9781786949493"</f>
        <v>9781786949493</v>
      </c>
      <c r="E2791" t="s">
        <v>4290</v>
      </c>
      <c r="F2791" s="1">
        <v>43497</v>
      </c>
      <c r="G2791" t="s">
        <v>10671</v>
      </c>
      <c r="H2791" t="s">
        <v>70</v>
      </c>
      <c r="J2791">
        <v>843.9209353</v>
      </c>
      <c r="L2791" t="s">
        <v>20</v>
      </c>
      <c r="M2791" t="s">
        <v>10672</v>
      </c>
    </row>
    <row r="2792" spans="1:13" x14ac:dyDescent="0.25">
      <c r="A2792">
        <v>6898765</v>
      </c>
      <c r="B2792" t="s">
        <v>10673</v>
      </c>
      <c r="C2792" t="str">
        <f>"9781781382868"</f>
        <v>9781781382868</v>
      </c>
      <c r="D2792" t="str">
        <f>"9781781384558"</f>
        <v>9781781384558</v>
      </c>
      <c r="E2792" t="s">
        <v>4290</v>
      </c>
      <c r="F2792" s="1">
        <v>42482</v>
      </c>
      <c r="G2792" t="s">
        <v>10674</v>
      </c>
      <c r="H2792" t="s">
        <v>139</v>
      </c>
      <c r="J2792" t="s">
        <v>10675</v>
      </c>
      <c r="L2792" t="s">
        <v>20</v>
      </c>
      <c r="M2792" t="s">
        <v>10676</v>
      </c>
    </row>
    <row r="2793" spans="1:13" x14ac:dyDescent="0.25">
      <c r="A2793">
        <v>6898768</v>
      </c>
      <c r="B2793" t="s">
        <v>10677</v>
      </c>
      <c r="C2793" t="str">
        <f>"9781789620757"</f>
        <v>9781789620757</v>
      </c>
      <c r="D2793" t="str">
        <f>"9781789624953"</f>
        <v>9781789624953</v>
      </c>
      <c r="E2793" t="s">
        <v>4290</v>
      </c>
      <c r="F2793" s="1">
        <v>43799</v>
      </c>
      <c r="G2793" t="s">
        <v>10678</v>
      </c>
      <c r="H2793" t="s">
        <v>70</v>
      </c>
      <c r="J2793">
        <v>823.80934999999999</v>
      </c>
      <c r="L2793" t="s">
        <v>20</v>
      </c>
      <c r="M2793" t="s">
        <v>10679</v>
      </c>
    </row>
    <row r="2794" spans="1:13" x14ac:dyDescent="0.25">
      <c r="A2794">
        <v>6898772</v>
      </c>
      <c r="B2794" t="s">
        <v>10680</v>
      </c>
      <c r="C2794" t="str">
        <f>"9781846314704"</f>
        <v>9781846314704</v>
      </c>
      <c r="D2794" t="str">
        <f>"9781789624205"</f>
        <v>9781789624205</v>
      </c>
      <c r="E2794" t="s">
        <v>4290</v>
      </c>
      <c r="F2794" s="1">
        <v>40373</v>
      </c>
      <c r="G2794" t="s">
        <v>10681</v>
      </c>
      <c r="H2794" t="s">
        <v>70</v>
      </c>
      <c r="J2794">
        <v>809.93522599999994</v>
      </c>
      <c r="L2794" t="s">
        <v>20</v>
      </c>
      <c r="M2794" t="s">
        <v>10682</v>
      </c>
    </row>
    <row r="2795" spans="1:13" x14ac:dyDescent="0.25">
      <c r="A2795">
        <v>6898773</v>
      </c>
      <c r="B2795" t="s">
        <v>10683</v>
      </c>
      <c r="C2795" t="str">
        <f>"9781846319433"</f>
        <v>9781846319433</v>
      </c>
      <c r="D2795" t="str">
        <f>"9781781385739"</f>
        <v>9781781385739</v>
      </c>
      <c r="E2795" t="s">
        <v>4290</v>
      </c>
      <c r="F2795" s="1">
        <v>41561</v>
      </c>
      <c r="G2795" t="s">
        <v>4069</v>
      </c>
      <c r="H2795" t="s">
        <v>70</v>
      </c>
      <c r="I2795" t="s">
        <v>10684</v>
      </c>
      <c r="J2795">
        <v>809</v>
      </c>
      <c r="L2795" t="s">
        <v>20</v>
      </c>
      <c r="M2795" t="s">
        <v>10685</v>
      </c>
    </row>
    <row r="2796" spans="1:13" x14ac:dyDescent="0.25">
      <c r="A2796">
        <v>6898775</v>
      </c>
      <c r="B2796" t="s">
        <v>10686</v>
      </c>
      <c r="C2796" t="str">
        <f>"9781800348455"</f>
        <v>9781800348455</v>
      </c>
      <c r="D2796" t="str">
        <f>"9781800345515"</f>
        <v>9781800345515</v>
      </c>
      <c r="E2796" t="s">
        <v>4290</v>
      </c>
      <c r="F2796" s="1">
        <v>44593</v>
      </c>
      <c r="G2796" t="s">
        <v>10687</v>
      </c>
      <c r="H2796" t="s">
        <v>70</v>
      </c>
      <c r="J2796">
        <v>863.70935882000003</v>
      </c>
      <c r="L2796" t="s">
        <v>20</v>
      </c>
      <c r="M2796" t="s">
        <v>10688</v>
      </c>
    </row>
    <row r="2797" spans="1:13" x14ac:dyDescent="0.25">
      <c r="A2797">
        <v>6898776</v>
      </c>
      <c r="B2797" t="s">
        <v>10689</v>
      </c>
      <c r="C2797" t="str">
        <f>"9781846319716"</f>
        <v>9781846319716</v>
      </c>
      <c r="D2797" t="str">
        <f>"9781781385555"</f>
        <v>9781781385555</v>
      </c>
      <c r="E2797" t="s">
        <v>4290</v>
      </c>
      <c r="F2797" s="1">
        <v>41537</v>
      </c>
      <c r="G2797" t="s">
        <v>10690</v>
      </c>
      <c r="H2797" t="s">
        <v>70</v>
      </c>
      <c r="I2797" t="s">
        <v>10691</v>
      </c>
      <c r="J2797">
        <v>821.7</v>
      </c>
      <c r="L2797" t="s">
        <v>20</v>
      </c>
      <c r="M2797" t="s">
        <v>10692</v>
      </c>
    </row>
    <row r="2798" spans="1:13" x14ac:dyDescent="0.25">
      <c r="A2798">
        <v>6898800</v>
      </c>
      <c r="B2798" t="s">
        <v>10693</v>
      </c>
      <c r="C2798" t="str">
        <f>"9789811677106"</f>
        <v>9789811677106</v>
      </c>
      <c r="D2798" t="str">
        <f>"9789811677113"</f>
        <v>9789811677113</v>
      </c>
      <c r="E2798" t="s">
        <v>4099</v>
      </c>
      <c r="F2798" s="1">
        <v>44662</v>
      </c>
      <c r="G2798" t="s">
        <v>10694</v>
      </c>
      <c r="H2798" t="s">
        <v>2597</v>
      </c>
      <c r="I2798" t="s">
        <v>10695</v>
      </c>
      <c r="L2798" t="s">
        <v>20</v>
      </c>
      <c r="M2798" t="s">
        <v>10696</v>
      </c>
    </row>
    <row r="2799" spans="1:13" x14ac:dyDescent="0.25">
      <c r="A2799">
        <v>6898801</v>
      </c>
      <c r="B2799" t="s">
        <v>10697</v>
      </c>
      <c r="C2799" t="str">
        <f>"9783030866440"</f>
        <v>9783030866440</v>
      </c>
      <c r="D2799" t="str">
        <f>"9783030866457"</f>
        <v>9783030866457</v>
      </c>
      <c r="E2799" t="s">
        <v>2905</v>
      </c>
      <c r="F2799" s="1">
        <v>44621</v>
      </c>
      <c r="G2799" t="s">
        <v>10698</v>
      </c>
      <c r="H2799" t="s">
        <v>64</v>
      </c>
      <c r="I2799" t="s">
        <v>8735</v>
      </c>
      <c r="J2799">
        <v>361.61</v>
      </c>
      <c r="L2799" t="s">
        <v>20</v>
      </c>
      <c r="M2799" t="s">
        <v>10699</v>
      </c>
    </row>
    <row r="2800" spans="1:13" x14ac:dyDescent="0.25">
      <c r="A2800">
        <v>6898804</v>
      </c>
      <c r="B2800" t="s">
        <v>10700</v>
      </c>
      <c r="C2800" t="str">
        <f>"9783030831271"</f>
        <v>9783030831271</v>
      </c>
      <c r="D2800" t="str">
        <f>"9783030831288"</f>
        <v>9783030831288</v>
      </c>
      <c r="E2800" t="s">
        <v>2905</v>
      </c>
      <c r="F2800" s="1">
        <v>44658</v>
      </c>
      <c r="G2800" t="s">
        <v>5213</v>
      </c>
      <c r="H2800" t="s">
        <v>712</v>
      </c>
      <c r="I2800" t="s">
        <v>4774</v>
      </c>
      <c r="L2800" t="s">
        <v>20</v>
      </c>
      <c r="M2800" t="s">
        <v>10701</v>
      </c>
    </row>
    <row r="2801" spans="1:13" x14ac:dyDescent="0.25">
      <c r="A2801">
        <v>6898809</v>
      </c>
      <c r="B2801" t="s">
        <v>10702</v>
      </c>
      <c r="C2801" t="str">
        <f>"9783658361662"</f>
        <v>9783658361662</v>
      </c>
      <c r="D2801" t="str">
        <f>"9783658361679"</f>
        <v>9783658361679</v>
      </c>
      <c r="E2801" t="s">
        <v>4472</v>
      </c>
      <c r="F2801" s="1">
        <v>44621</v>
      </c>
      <c r="G2801" t="s">
        <v>10703</v>
      </c>
      <c r="H2801" t="s">
        <v>64</v>
      </c>
      <c r="I2801" t="s">
        <v>4661</v>
      </c>
      <c r="L2801" t="s">
        <v>291</v>
      </c>
      <c r="M2801" t="s">
        <v>10704</v>
      </c>
    </row>
    <row r="2802" spans="1:13" x14ac:dyDescent="0.25">
      <c r="A2802">
        <v>6898821</v>
      </c>
      <c r="B2802" t="s">
        <v>10705</v>
      </c>
      <c r="C2802" t="str">
        <f>"9789811697470"</f>
        <v>9789811697470</v>
      </c>
      <c r="D2802" t="str">
        <f>"9789811697487"</f>
        <v>9789811697487</v>
      </c>
      <c r="E2802" t="s">
        <v>4099</v>
      </c>
      <c r="F2802" s="1">
        <v>44658</v>
      </c>
      <c r="G2802" t="s">
        <v>10706</v>
      </c>
      <c r="H2802" t="s">
        <v>1753</v>
      </c>
      <c r="I2802" t="s">
        <v>4753</v>
      </c>
      <c r="L2802" t="s">
        <v>20</v>
      </c>
      <c r="M2802" t="s">
        <v>10707</v>
      </c>
    </row>
    <row r="2803" spans="1:13" x14ac:dyDescent="0.25">
      <c r="A2803">
        <v>6898826</v>
      </c>
      <c r="B2803" t="s">
        <v>10708</v>
      </c>
      <c r="C2803" t="str">
        <f>"9783658367145"</f>
        <v>9783658367145</v>
      </c>
      <c r="D2803" t="str">
        <f>"9783658367152"</f>
        <v>9783658367152</v>
      </c>
      <c r="E2803" t="s">
        <v>4472</v>
      </c>
      <c r="F2803" s="1">
        <v>44656</v>
      </c>
      <c r="G2803" t="s">
        <v>10709</v>
      </c>
      <c r="H2803" t="s">
        <v>363</v>
      </c>
      <c r="I2803" t="s">
        <v>5090</v>
      </c>
      <c r="L2803" t="s">
        <v>291</v>
      </c>
      <c r="M2803" t="s">
        <v>10710</v>
      </c>
    </row>
    <row r="2804" spans="1:13" x14ac:dyDescent="0.25">
      <c r="A2804">
        <v>6898851</v>
      </c>
      <c r="B2804" t="s">
        <v>10711</v>
      </c>
      <c r="C2804" t="str">
        <f>"9783030708245"</f>
        <v>9783030708245</v>
      </c>
      <c r="D2804" t="str">
        <f>"9783030708252"</f>
        <v>9783030708252</v>
      </c>
      <c r="E2804" t="s">
        <v>2905</v>
      </c>
      <c r="F2804" s="1">
        <v>44621</v>
      </c>
      <c r="G2804" t="s">
        <v>10712</v>
      </c>
      <c r="H2804" t="s">
        <v>363</v>
      </c>
      <c r="I2804" t="s">
        <v>6563</v>
      </c>
      <c r="L2804" t="s">
        <v>20</v>
      </c>
      <c r="M2804" t="s">
        <v>10713</v>
      </c>
    </row>
    <row r="2805" spans="1:13" x14ac:dyDescent="0.25">
      <c r="A2805">
        <v>6899791</v>
      </c>
      <c r="B2805" t="s">
        <v>10714</v>
      </c>
      <c r="C2805" t="str">
        <f>"9783658367183"</f>
        <v>9783658367183</v>
      </c>
      <c r="D2805" t="str">
        <f>"9783658367190"</f>
        <v>9783658367190</v>
      </c>
      <c r="E2805" t="s">
        <v>4472</v>
      </c>
      <c r="F2805" s="1">
        <v>44658</v>
      </c>
      <c r="G2805" t="s">
        <v>10715</v>
      </c>
      <c r="H2805" t="s">
        <v>30</v>
      </c>
      <c r="I2805" t="s">
        <v>6917</v>
      </c>
      <c r="L2805" t="s">
        <v>291</v>
      </c>
      <c r="M2805" t="s">
        <v>10716</v>
      </c>
    </row>
    <row r="2806" spans="1:13" x14ac:dyDescent="0.25">
      <c r="A2806">
        <v>6904261</v>
      </c>
      <c r="B2806" t="s">
        <v>10717</v>
      </c>
      <c r="C2806" t="str">
        <f>"9783030932534"</f>
        <v>9783030932534</v>
      </c>
      <c r="D2806" t="str">
        <f>"9783030932541"</f>
        <v>9783030932541</v>
      </c>
      <c r="E2806" t="s">
        <v>2905</v>
      </c>
      <c r="F2806" s="1">
        <v>44654</v>
      </c>
      <c r="G2806" t="s">
        <v>10718</v>
      </c>
      <c r="H2806" t="s">
        <v>1624</v>
      </c>
      <c r="I2806" t="s">
        <v>10695</v>
      </c>
      <c r="L2806" t="s">
        <v>20</v>
      </c>
      <c r="M2806" t="s">
        <v>10719</v>
      </c>
    </row>
    <row r="2807" spans="1:13" x14ac:dyDescent="0.25">
      <c r="A2807">
        <v>6912963</v>
      </c>
      <c r="B2807" t="s">
        <v>10720</v>
      </c>
      <c r="C2807" t="str">
        <f>"9783030945794"</f>
        <v>9783030945794</v>
      </c>
      <c r="D2807" t="str">
        <f>"9783030945800"</f>
        <v>9783030945800</v>
      </c>
      <c r="E2807" t="s">
        <v>2905</v>
      </c>
      <c r="F2807" s="1">
        <v>44659</v>
      </c>
      <c r="G2807" t="s">
        <v>10721</v>
      </c>
      <c r="H2807" t="s">
        <v>30</v>
      </c>
      <c r="I2807" t="s">
        <v>5108</v>
      </c>
      <c r="L2807" t="s">
        <v>20</v>
      </c>
      <c r="M2807" t="s">
        <v>10722</v>
      </c>
    </row>
    <row r="2808" spans="1:13" x14ac:dyDescent="0.25">
      <c r="A2808">
        <v>6912980</v>
      </c>
      <c r="B2808" t="s">
        <v>10723</v>
      </c>
      <c r="C2808" t="str">
        <f>"9783030832544"</f>
        <v>9783030832544</v>
      </c>
      <c r="D2808" t="str">
        <f>"9783030832551"</f>
        <v>9783030832551</v>
      </c>
      <c r="E2808" t="s">
        <v>2905</v>
      </c>
      <c r="F2808" s="1">
        <v>44660</v>
      </c>
      <c r="G2808" t="s">
        <v>10724</v>
      </c>
      <c r="H2808" t="s">
        <v>363</v>
      </c>
      <c r="I2808" t="s">
        <v>4529</v>
      </c>
      <c r="L2808" t="s">
        <v>20</v>
      </c>
      <c r="M2808" t="s">
        <v>10725</v>
      </c>
    </row>
    <row r="2809" spans="1:13" x14ac:dyDescent="0.25">
      <c r="A2809">
        <v>6913509</v>
      </c>
      <c r="B2809" t="s">
        <v>10726</v>
      </c>
      <c r="C2809" t="str">
        <f>""</f>
        <v/>
      </c>
      <c r="D2809" t="str">
        <f>"9788021059368"</f>
        <v>9788021059368</v>
      </c>
      <c r="E2809" t="s">
        <v>10727</v>
      </c>
      <c r="F2809" s="1">
        <v>44013</v>
      </c>
      <c r="G2809" t="s">
        <v>10728</v>
      </c>
      <c r="H2809" t="s">
        <v>363</v>
      </c>
      <c r="L2809" t="s">
        <v>10729</v>
      </c>
      <c r="M2809" t="s">
        <v>10730</v>
      </c>
    </row>
    <row r="2810" spans="1:13" x14ac:dyDescent="0.25">
      <c r="A2810">
        <v>6913510</v>
      </c>
      <c r="B2810" t="s">
        <v>10731</v>
      </c>
      <c r="C2810" t="str">
        <f>""</f>
        <v/>
      </c>
      <c r="D2810" t="str">
        <f>"9788021063136"</f>
        <v>9788021063136</v>
      </c>
      <c r="E2810" t="s">
        <v>10727</v>
      </c>
      <c r="F2810" s="1">
        <v>44378</v>
      </c>
      <c r="G2810" t="s">
        <v>10732</v>
      </c>
      <c r="H2810" t="s">
        <v>266</v>
      </c>
      <c r="L2810" t="s">
        <v>10729</v>
      </c>
      <c r="M2810" t="s">
        <v>10733</v>
      </c>
    </row>
    <row r="2811" spans="1:13" x14ac:dyDescent="0.25">
      <c r="A2811">
        <v>6913511</v>
      </c>
      <c r="B2811" t="s">
        <v>10734</v>
      </c>
      <c r="C2811" t="str">
        <f>""</f>
        <v/>
      </c>
      <c r="D2811" t="str">
        <f>"9788021066434"</f>
        <v>9788021066434</v>
      </c>
      <c r="E2811" t="s">
        <v>10727</v>
      </c>
      <c r="F2811" s="1">
        <v>44013</v>
      </c>
      <c r="G2811" t="s">
        <v>10735</v>
      </c>
      <c r="H2811" t="s">
        <v>363</v>
      </c>
      <c r="L2811" t="s">
        <v>10729</v>
      </c>
      <c r="M2811" t="s">
        <v>10736</v>
      </c>
    </row>
    <row r="2812" spans="1:13" x14ac:dyDescent="0.25">
      <c r="A2812">
        <v>6913512</v>
      </c>
      <c r="B2812" t="s">
        <v>10737</v>
      </c>
      <c r="C2812" t="str">
        <f>""</f>
        <v/>
      </c>
      <c r="D2812" t="str">
        <f>"9788021079823"</f>
        <v>9788021079823</v>
      </c>
      <c r="E2812" t="s">
        <v>10727</v>
      </c>
      <c r="F2812" s="1">
        <v>44378</v>
      </c>
      <c r="G2812" t="s">
        <v>10738</v>
      </c>
      <c r="H2812" t="s">
        <v>363</v>
      </c>
      <c r="L2812" t="s">
        <v>10729</v>
      </c>
      <c r="M2812" t="s">
        <v>10739</v>
      </c>
    </row>
    <row r="2813" spans="1:13" x14ac:dyDescent="0.25">
      <c r="A2813">
        <v>6913513</v>
      </c>
      <c r="B2813" t="s">
        <v>10740</v>
      </c>
      <c r="C2813" t="str">
        <f>""</f>
        <v/>
      </c>
      <c r="D2813" t="str">
        <f>"9788021080942"</f>
        <v>9788021080942</v>
      </c>
      <c r="E2813" t="s">
        <v>10727</v>
      </c>
      <c r="F2813" s="1">
        <v>42186</v>
      </c>
      <c r="G2813" t="s">
        <v>10741</v>
      </c>
      <c r="H2813" t="s">
        <v>712</v>
      </c>
      <c r="L2813" t="s">
        <v>10729</v>
      </c>
      <c r="M2813" t="s">
        <v>10742</v>
      </c>
    </row>
    <row r="2814" spans="1:13" x14ac:dyDescent="0.25">
      <c r="A2814">
        <v>6913514</v>
      </c>
      <c r="B2814" t="s">
        <v>10743</v>
      </c>
      <c r="C2814" t="str">
        <f>""</f>
        <v/>
      </c>
      <c r="D2814" t="str">
        <f>"9788021082854"</f>
        <v>9788021082854</v>
      </c>
      <c r="E2814" t="s">
        <v>10727</v>
      </c>
      <c r="F2814" s="1">
        <v>42552</v>
      </c>
      <c r="G2814" t="s">
        <v>10744</v>
      </c>
      <c r="H2814" t="s">
        <v>266</v>
      </c>
      <c r="L2814" t="s">
        <v>10729</v>
      </c>
      <c r="M2814" t="s">
        <v>10745</v>
      </c>
    </row>
    <row r="2815" spans="1:13" x14ac:dyDescent="0.25">
      <c r="A2815">
        <v>6913515</v>
      </c>
      <c r="B2815" t="s">
        <v>10746</v>
      </c>
      <c r="C2815" t="str">
        <f>""</f>
        <v/>
      </c>
      <c r="D2815" t="str">
        <f>"9788021082861"</f>
        <v>9788021082861</v>
      </c>
      <c r="E2815" t="s">
        <v>10727</v>
      </c>
      <c r="F2815" s="1">
        <v>42552</v>
      </c>
      <c r="G2815" t="s">
        <v>10747</v>
      </c>
      <c r="H2815" t="s">
        <v>266</v>
      </c>
      <c r="L2815" t="s">
        <v>10729</v>
      </c>
      <c r="M2815" t="s">
        <v>10748</v>
      </c>
    </row>
    <row r="2816" spans="1:13" x14ac:dyDescent="0.25">
      <c r="A2816">
        <v>6913516</v>
      </c>
      <c r="B2816" t="s">
        <v>10749</v>
      </c>
      <c r="C2816" t="str">
        <f>""</f>
        <v/>
      </c>
      <c r="D2816" t="str">
        <f>"9788021082878"</f>
        <v>9788021082878</v>
      </c>
      <c r="E2816" t="s">
        <v>10727</v>
      </c>
      <c r="F2816" s="1">
        <v>42552</v>
      </c>
      <c r="G2816" t="s">
        <v>10750</v>
      </c>
      <c r="H2816" t="s">
        <v>266</v>
      </c>
      <c r="L2816" t="s">
        <v>10729</v>
      </c>
      <c r="M2816" t="s">
        <v>10751</v>
      </c>
    </row>
    <row r="2817" spans="1:13" x14ac:dyDescent="0.25">
      <c r="A2817">
        <v>6913517</v>
      </c>
      <c r="B2817" t="s">
        <v>10752</v>
      </c>
      <c r="C2817" t="str">
        <f>""</f>
        <v/>
      </c>
      <c r="D2817" t="str">
        <f>"9788021084698"</f>
        <v>9788021084698</v>
      </c>
      <c r="E2817" t="s">
        <v>10727</v>
      </c>
      <c r="F2817" s="1">
        <v>44378</v>
      </c>
      <c r="G2817" t="s">
        <v>10753</v>
      </c>
      <c r="H2817" t="s">
        <v>246</v>
      </c>
      <c r="L2817" t="s">
        <v>10729</v>
      </c>
      <c r="M2817" t="s">
        <v>10754</v>
      </c>
    </row>
    <row r="2818" spans="1:13" x14ac:dyDescent="0.25">
      <c r="A2818">
        <v>6913518</v>
      </c>
      <c r="B2818" t="s">
        <v>10755</v>
      </c>
      <c r="C2818" t="str">
        <f>"9788021081031"</f>
        <v>9788021081031</v>
      </c>
      <c r="D2818" t="str">
        <f>"9788021085633"</f>
        <v>9788021085633</v>
      </c>
      <c r="E2818" t="s">
        <v>10727</v>
      </c>
      <c r="F2818" s="1">
        <v>42552</v>
      </c>
      <c r="G2818" t="s">
        <v>10756</v>
      </c>
      <c r="H2818" t="s">
        <v>851</v>
      </c>
      <c r="L2818" t="s">
        <v>20</v>
      </c>
      <c r="M2818" t="s">
        <v>10757</v>
      </c>
    </row>
    <row r="2819" spans="1:13" x14ac:dyDescent="0.25">
      <c r="A2819">
        <v>6913519</v>
      </c>
      <c r="B2819" t="s">
        <v>10758</v>
      </c>
      <c r="C2819" t="str">
        <f>"9788021085688"</f>
        <v>9788021085688</v>
      </c>
      <c r="D2819" t="str">
        <f>"9788021085695"</f>
        <v>9788021085695</v>
      </c>
      <c r="E2819" t="s">
        <v>10727</v>
      </c>
      <c r="F2819" s="1">
        <v>42917</v>
      </c>
      <c r="G2819" t="s">
        <v>10759</v>
      </c>
      <c r="H2819" t="s">
        <v>363</v>
      </c>
      <c r="L2819" t="s">
        <v>10729</v>
      </c>
      <c r="M2819" t="s">
        <v>10760</v>
      </c>
    </row>
    <row r="2820" spans="1:13" x14ac:dyDescent="0.25">
      <c r="A2820">
        <v>6913520</v>
      </c>
      <c r="B2820" t="s">
        <v>10761</v>
      </c>
      <c r="C2820" t="str">
        <f>"9788021086265"</f>
        <v>9788021086265</v>
      </c>
      <c r="D2820" t="str">
        <f>"9788021086319"</f>
        <v>9788021086319</v>
      </c>
      <c r="E2820" t="s">
        <v>10727</v>
      </c>
      <c r="F2820" s="1">
        <v>44743</v>
      </c>
      <c r="G2820" t="s">
        <v>10762</v>
      </c>
      <c r="H2820" t="s">
        <v>1178</v>
      </c>
      <c r="L2820" t="s">
        <v>20</v>
      </c>
      <c r="M2820" t="s">
        <v>10763</v>
      </c>
    </row>
    <row r="2821" spans="1:13" x14ac:dyDescent="0.25">
      <c r="A2821">
        <v>6913521</v>
      </c>
      <c r="B2821" t="s">
        <v>10764</v>
      </c>
      <c r="C2821" t="str">
        <f>"9788021086340"</f>
        <v>9788021086340</v>
      </c>
      <c r="D2821" t="str">
        <f>"9788021086357"</f>
        <v>9788021086357</v>
      </c>
      <c r="E2821" t="s">
        <v>10727</v>
      </c>
      <c r="F2821" s="1">
        <v>44378</v>
      </c>
      <c r="G2821" t="s">
        <v>10765</v>
      </c>
      <c r="H2821" t="s">
        <v>363</v>
      </c>
      <c r="L2821" t="s">
        <v>10729</v>
      </c>
      <c r="M2821" t="s">
        <v>10766</v>
      </c>
    </row>
    <row r="2822" spans="1:13" x14ac:dyDescent="0.25">
      <c r="A2822">
        <v>6913522</v>
      </c>
      <c r="B2822" t="s">
        <v>10767</v>
      </c>
      <c r="C2822" t="str">
        <f>"9788021088924"</f>
        <v>9788021088924</v>
      </c>
      <c r="D2822" t="str">
        <f>"9788021088931"</f>
        <v>9788021088931</v>
      </c>
      <c r="E2822" t="s">
        <v>10727</v>
      </c>
      <c r="F2822" s="1">
        <v>42917</v>
      </c>
      <c r="G2822" t="s">
        <v>10768</v>
      </c>
      <c r="H2822" t="s">
        <v>851</v>
      </c>
      <c r="L2822" t="s">
        <v>10729</v>
      </c>
      <c r="M2822" t="s">
        <v>10769</v>
      </c>
    </row>
    <row r="2823" spans="1:13" x14ac:dyDescent="0.25">
      <c r="A2823">
        <v>6913523</v>
      </c>
      <c r="B2823" t="s">
        <v>10770</v>
      </c>
      <c r="C2823" t="str">
        <f>""</f>
        <v/>
      </c>
      <c r="D2823" t="str">
        <f>"9788021089174"</f>
        <v>9788021089174</v>
      </c>
      <c r="E2823" t="s">
        <v>10727</v>
      </c>
      <c r="F2823" s="1">
        <v>43282</v>
      </c>
      <c r="G2823" t="s">
        <v>10771</v>
      </c>
      <c r="H2823" t="s">
        <v>3948</v>
      </c>
      <c r="L2823" t="s">
        <v>20</v>
      </c>
      <c r="M2823" t="s">
        <v>10772</v>
      </c>
    </row>
    <row r="2824" spans="1:13" x14ac:dyDescent="0.25">
      <c r="A2824">
        <v>6913524</v>
      </c>
      <c r="B2824" t="s">
        <v>10773</v>
      </c>
      <c r="C2824" t="str">
        <f>"9788021089952"</f>
        <v>9788021089952</v>
      </c>
      <c r="D2824" t="str">
        <f>"9788021089969"</f>
        <v>9788021089969</v>
      </c>
      <c r="E2824" t="s">
        <v>10727</v>
      </c>
      <c r="F2824" s="1">
        <v>43282</v>
      </c>
      <c r="G2824" t="s">
        <v>10774</v>
      </c>
      <c r="H2824" t="s">
        <v>246</v>
      </c>
      <c r="L2824" t="s">
        <v>10729</v>
      </c>
      <c r="M2824" t="s">
        <v>10775</v>
      </c>
    </row>
    <row r="2825" spans="1:13" x14ac:dyDescent="0.25">
      <c r="A2825">
        <v>6913525</v>
      </c>
      <c r="B2825" t="s">
        <v>10776</v>
      </c>
      <c r="C2825" t="str">
        <f>"9788021091412"</f>
        <v>9788021091412</v>
      </c>
      <c r="D2825" t="str">
        <f>"9788021091429"</f>
        <v>9788021091429</v>
      </c>
      <c r="E2825" t="s">
        <v>10727</v>
      </c>
      <c r="F2825" s="1">
        <v>44378</v>
      </c>
      <c r="G2825" t="s">
        <v>10777</v>
      </c>
      <c r="H2825" t="s">
        <v>70</v>
      </c>
      <c r="L2825" t="s">
        <v>10729</v>
      </c>
      <c r="M2825" t="s">
        <v>10778</v>
      </c>
    </row>
    <row r="2826" spans="1:13" x14ac:dyDescent="0.25">
      <c r="A2826">
        <v>6913526</v>
      </c>
      <c r="B2826" t="s">
        <v>10779</v>
      </c>
      <c r="C2826" t="str">
        <f>"9788021092280"</f>
        <v>9788021092280</v>
      </c>
      <c r="D2826" t="str">
        <f>"9788021092297"</f>
        <v>9788021092297</v>
      </c>
      <c r="E2826" t="s">
        <v>10727</v>
      </c>
      <c r="F2826" s="1">
        <v>43647</v>
      </c>
      <c r="G2826" t="s">
        <v>10780</v>
      </c>
      <c r="H2826" t="s">
        <v>363</v>
      </c>
      <c r="L2826" t="s">
        <v>10729</v>
      </c>
      <c r="M2826" t="s">
        <v>10781</v>
      </c>
    </row>
    <row r="2827" spans="1:13" x14ac:dyDescent="0.25">
      <c r="A2827">
        <v>6913527</v>
      </c>
      <c r="B2827" t="s">
        <v>10782</v>
      </c>
      <c r="C2827" t="str">
        <f>"9788021092747"</f>
        <v>9788021092747</v>
      </c>
      <c r="D2827" t="str">
        <f>"9788021092754"</f>
        <v>9788021092754</v>
      </c>
      <c r="E2827" t="s">
        <v>10727</v>
      </c>
      <c r="F2827" s="1">
        <v>43282</v>
      </c>
      <c r="G2827" t="s">
        <v>10783</v>
      </c>
      <c r="H2827" t="s">
        <v>363</v>
      </c>
      <c r="L2827" t="s">
        <v>10729</v>
      </c>
      <c r="M2827" t="s">
        <v>10784</v>
      </c>
    </row>
    <row r="2828" spans="1:13" x14ac:dyDescent="0.25">
      <c r="A2828">
        <v>6913528</v>
      </c>
      <c r="B2828" t="s">
        <v>10785</v>
      </c>
      <c r="C2828" t="str">
        <f>""</f>
        <v/>
      </c>
      <c r="D2828" t="str">
        <f>"9788021093454"</f>
        <v>9788021093454</v>
      </c>
      <c r="E2828" t="s">
        <v>10727</v>
      </c>
      <c r="F2828" s="1">
        <v>43282</v>
      </c>
      <c r="G2828" t="s">
        <v>10786</v>
      </c>
      <c r="H2828" t="s">
        <v>363</v>
      </c>
      <c r="L2828" t="s">
        <v>10729</v>
      </c>
      <c r="M2828" t="s">
        <v>10787</v>
      </c>
    </row>
    <row r="2829" spans="1:13" x14ac:dyDescent="0.25">
      <c r="A2829">
        <v>6913529</v>
      </c>
      <c r="B2829" t="s">
        <v>10788</v>
      </c>
      <c r="C2829" t="str">
        <f>""</f>
        <v/>
      </c>
      <c r="D2829" t="str">
        <f>"9788021093461"</f>
        <v>9788021093461</v>
      </c>
      <c r="E2829" t="s">
        <v>10727</v>
      </c>
      <c r="F2829" s="1">
        <v>43282</v>
      </c>
      <c r="G2829" t="s">
        <v>10786</v>
      </c>
      <c r="H2829" t="s">
        <v>363</v>
      </c>
      <c r="L2829" t="s">
        <v>10729</v>
      </c>
      <c r="M2829" t="s">
        <v>10789</v>
      </c>
    </row>
    <row r="2830" spans="1:13" x14ac:dyDescent="0.25">
      <c r="A2830">
        <v>6913530</v>
      </c>
      <c r="B2830" t="s">
        <v>10790</v>
      </c>
      <c r="C2830" t="str">
        <f>"9788021093560"</f>
        <v>9788021093560</v>
      </c>
      <c r="D2830" t="str">
        <f>"9788021093577"</f>
        <v>9788021093577</v>
      </c>
      <c r="E2830" t="s">
        <v>10727</v>
      </c>
      <c r="F2830" s="1">
        <v>43647</v>
      </c>
      <c r="G2830" t="s">
        <v>10791</v>
      </c>
      <c r="H2830" t="s">
        <v>1753</v>
      </c>
      <c r="L2830" t="s">
        <v>10729</v>
      </c>
      <c r="M2830" t="s">
        <v>10792</v>
      </c>
    </row>
    <row r="2831" spans="1:13" x14ac:dyDescent="0.25">
      <c r="A2831">
        <v>6913531</v>
      </c>
      <c r="B2831" t="s">
        <v>10793</v>
      </c>
      <c r="C2831" t="str">
        <f>""</f>
        <v/>
      </c>
      <c r="D2831" t="str">
        <f>"9788021093652"</f>
        <v>9788021093652</v>
      </c>
      <c r="E2831" t="s">
        <v>10727</v>
      </c>
      <c r="F2831" s="1">
        <v>43647</v>
      </c>
      <c r="G2831" t="s">
        <v>10794</v>
      </c>
      <c r="H2831" t="s">
        <v>3887</v>
      </c>
      <c r="L2831" t="s">
        <v>20</v>
      </c>
      <c r="M2831" t="s">
        <v>10795</v>
      </c>
    </row>
    <row r="2832" spans="1:13" x14ac:dyDescent="0.25">
      <c r="A2832">
        <v>6913532</v>
      </c>
      <c r="B2832" t="s">
        <v>10796</v>
      </c>
      <c r="C2832" t="str">
        <f>"9788021093775"</f>
        <v>9788021093775</v>
      </c>
      <c r="D2832" t="str">
        <f>"9788021093782"</f>
        <v>9788021093782</v>
      </c>
      <c r="E2832" t="s">
        <v>10727</v>
      </c>
      <c r="F2832" s="1">
        <v>43647</v>
      </c>
      <c r="G2832" t="s">
        <v>10797</v>
      </c>
      <c r="H2832" t="s">
        <v>363</v>
      </c>
      <c r="L2832" t="s">
        <v>10729</v>
      </c>
      <c r="M2832" t="s">
        <v>10798</v>
      </c>
    </row>
    <row r="2833" spans="1:13" x14ac:dyDescent="0.25">
      <c r="A2833">
        <v>6913533</v>
      </c>
      <c r="B2833" t="s">
        <v>10799</v>
      </c>
      <c r="C2833" t="str">
        <f>""</f>
        <v/>
      </c>
      <c r="D2833" t="str">
        <f>"9788021093959"</f>
        <v>9788021093959</v>
      </c>
      <c r="E2833" t="s">
        <v>10727</v>
      </c>
      <c r="F2833" s="1">
        <v>43647</v>
      </c>
      <c r="G2833" t="s">
        <v>10800</v>
      </c>
      <c r="H2833" t="s">
        <v>64</v>
      </c>
      <c r="L2833" t="s">
        <v>20</v>
      </c>
      <c r="M2833" t="s">
        <v>10801</v>
      </c>
    </row>
    <row r="2834" spans="1:13" x14ac:dyDescent="0.25">
      <c r="A2834">
        <v>6913534</v>
      </c>
      <c r="B2834" t="s">
        <v>10802</v>
      </c>
      <c r="C2834" t="str">
        <f>""</f>
        <v/>
      </c>
      <c r="D2834" t="str">
        <f>"9788021094246"</f>
        <v>9788021094246</v>
      </c>
      <c r="E2834" t="s">
        <v>10727</v>
      </c>
      <c r="F2834" s="1">
        <v>43647</v>
      </c>
      <c r="G2834" t="s">
        <v>10803</v>
      </c>
      <c r="H2834" t="s">
        <v>70</v>
      </c>
      <c r="L2834" t="s">
        <v>10729</v>
      </c>
      <c r="M2834" t="s">
        <v>10804</v>
      </c>
    </row>
    <row r="2835" spans="1:13" x14ac:dyDescent="0.25">
      <c r="A2835">
        <v>6913535</v>
      </c>
      <c r="B2835" t="s">
        <v>10805</v>
      </c>
      <c r="C2835" t="str">
        <f>""</f>
        <v/>
      </c>
      <c r="D2835" t="str">
        <f>"9788021094307"</f>
        <v>9788021094307</v>
      </c>
      <c r="E2835" t="s">
        <v>10727</v>
      </c>
      <c r="F2835" s="1">
        <v>43647</v>
      </c>
      <c r="G2835" t="s">
        <v>10806</v>
      </c>
      <c r="H2835" t="s">
        <v>8523</v>
      </c>
      <c r="L2835" t="s">
        <v>10729</v>
      </c>
      <c r="M2835" t="s">
        <v>10807</v>
      </c>
    </row>
    <row r="2836" spans="1:13" x14ac:dyDescent="0.25">
      <c r="A2836">
        <v>6913536</v>
      </c>
      <c r="B2836" t="s">
        <v>10808</v>
      </c>
      <c r="C2836" t="str">
        <f>""</f>
        <v/>
      </c>
      <c r="D2836" t="str">
        <f>"9788021094352"</f>
        <v>9788021094352</v>
      </c>
      <c r="E2836" t="s">
        <v>10727</v>
      </c>
      <c r="F2836" s="1">
        <v>43647</v>
      </c>
      <c r="G2836" t="s">
        <v>10809</v>
      </c>
      <c r="H2836" t="s">
        <v>363</v>
      </c>
      <c r="L2836" t="s">
        <v>10729</v>
      </c>
      <c r="M2836" t="s">
        <v>10810</v>
      </c>
    </row>
    <row r="2837" spans="1:13" x14ac:dyDescent="0.25">
      <c r="A2837">
        <v>6913537</v>
      </c>
      <c r="B2837" t="s">
        <v>10811</v>
      </c>
      <c r="C2837" t="str">
        <f>"9788021094390"</f>
        <v>9788021094390</v>
      </c>
      <c r="D2837" t="str">
        <f>"9788021094406"</f>
        <v>9788021094406</v>
      </c>
      <c r="E2837" t="s">
        <v>10727</v>
      </c>
      <c r="F2837" s="1">
        <v>43647</v>
      </c>
      <c r="G2837" t="s">
        <v>10812</v>
      </c>
      <c r="H2837" t="s">
        <v>246</v>
      </c>
      <c r="L2837" t="s">
        <v>20</v>
      </c>
      <c r="M2837" t="s">
        <v>10813</v>
      </c>
    </row>
    <row r="2838" spans="1:13" x14ac:dyDescent="0.25">
      <c r="A2838">
        <v>6913538</v>
      </c>
      <c r="B2838" t="s">
        <v>10814</v>
      </c>
      <c r="C2838" t="str">
        <f>"9788021094611"</f>
        <v>9788021094611</v>
      </c>
      <c r="D2838" t="str">
        <f>"9788021094628"</f>
        <v>9788021094628</v>
      </c>
      <c r="E2838" t="s">
        <v>10727</v>
      </c>
      <c r="F2838" s="1">
        <v>43647</v>
      </c>
      <c r="G2838" t="s">
        <v>10815</v>
      </c>
      <c r="H2838" t="s">
        <v>64</v>
      </c>
      <c r="L2838" t="s">
        <v>10729</v>
      </c>
      <c r="M2838" t="s">
        <v>10816</v>
      </c>
    </row>
    <row r="2839" spans="1:13" x14ac:dyDescent="0.25">
      <c r="A2839">
        <v>6913539</v>
      </c>
      <c r="B2839" t="s">
        <v>10817</v>
      </c>
      <c r="C2839" t="str">
        <f>"9788021094796"</f>
        <v>9788021094796</v>
      </c>
      <c r="D2839" t="str">
        <f>"9788021094802"</f>
        <v>9788021094802</v>
      </c>
      <c r="E2839" t="s">
        <v>10727</v>
      </c>
      <c r="F2839" s="1">
        <v>43647</v>
      </c>
      <c r="G2839" t="s">
        <v>10818</v>
      </c>
      <c r="H2839" t="s">
        <v>712</v>
      </c>
      <c r="L2839" t="s">
        <v>10729</v>
      </c>
      <c r="M2839" t="s">
        <v>10819</v>
      </c>
    </row>
    <row r="2840" spans="1:13" x14ac:dyDescent="0.25">
      <c r="A2840">
        <v>6913540</v>
      </c>
      <c r="B2840" t="s">
        <v>10820</v>
      </c>
      <c r="C2840" t="str">
        <f>"9788021094819"</f>
        <v>9788021094819</v>
      </c>
      <c r="D2840" t="str">
        <f>"9788021094826"</f>
        <v>9788021094826</v>
      </c>
      <c r="E2840" t="s">
        <v>10727</v>
      </c>
      <c r="F2840" s="1">
        <v>43647</v>
      </c>
      <c r="G2840" t="s">
        <v>10821</v>
      </c>
      <c r="H2840" t="s">
        <v>363</v>
      </c>
      <c r="L2840" t="s">
        <v>10729</v>
      </c>
      <c r="M2840" t="s">
        <v>10822</v>
      </c>
    </row>
    <row r="2841" spans="1:13" x14ac:dyDescent="0.25">
      <c r="A2841">
        <v>6913541</v>
      </c>
      <c r="B2841" t="s">
        <v>10823</v>
      </c>
      <c r="C2841" t="str">
        <f>""</f>
        <v/>
      </c>
      <c r="D2841" t="str">
        <f>"9788021094840"</f>
        <v>9788021094840</v>
      </c>
      <c r="E2841" t="s">
        <v>10727</v>
      </c>
      <c r="F2841" s="1">
        <v>43647</v>
      </c>
      <c r="G2841" t="s">
        <v>10824</v>
      </c>
      <c r="H2841" t="s">
        <v>3887</v>
      </c>
      <c r="L2841" t="s">
        <v>20</v>
      </c>
      <c r="M2841" t="s">
        <v>10825</v>
      </c>
    </row>
    <row r="2842" spans="1:13" x14ac:dyDescent="0.25">
      <c r="A2842">
        <v>6913542</v>
      </c>
      <c r="B2842" t="s">
        <v>10826</v>
      </c>
      <c r="C2842" t="str">
        <f>""</f>
        <v/>
      </c>
      <c r="D2842" t="str">
        <f>"9788021094857"</f>
        <v>9788021094857</v>
      </c>
      <c r="E2842" t="s">
        <v>10727</v>
      </c>
      <c r="F2842" s="1">
        <v>43282</v>
      </c>
      <c r="G2842" t="s">
        <v>10827</v>
      </c>
      <c r="H2842" t="s">
        <v>9621</v>
      </c>
      <c r="L2842" t="s">
        <v>20</v>
      </c>
      <c r="M2842" t="s">
        <v>10828</v>
      </c>
    </row>
    <row r="2843" spans="1:13" x14ac:dyDescent="0.25">
      <c r="A2843">
        <v>6913543</v>
      </c>
      <c r="B2843" t="s">
        <v>10829</v>
      </c>
      <c r="C2843" t="str">
        <f>""</f>
        <v/>
      </c>
      <c r="D2843" t="str">
        <f>"9788021094888"</f>
        <v>9788021094888</v>
      </c>
      <c r="E2843" t="s">
        <v>10727</v>
      </c>
      <c r="F2843" s="1">
        <v>43647</v>
      </c>
      <c r="G2843" t="s">
        <v>10830</v>
      </c>
      <c r="H2843" t="s">
        <v>1586</v>
      </c>
      <c r="L2843" t="s">
        <v>10729</v>
      </c>
      <c r="M2843" t="s">
        <v>10831</v>
      </c>
    </row>
    <row r="2844" spans="1:13" x14ac:dyDescent="0.25">
      <c r="A2844">
        <v>6913544</v>
      </c>
      <c r="B2844" t="s">
        <v>10832</v>
      </c>
      <c r="C2844" t="str">
        <f>""</f>
        <v/>
      </c>
      <c r="D2844" t="str">
        <f>"9788021095014"</f>
        <v>9788021095014</v>
      </c>
      <c r="E2844" t="s">
        <v>10727</v>
      </c>
      <c r="F2844" s="1">
        <v>43647</v>
      </c>
      <c r="G2844" t="s">
        <v>10833</v>
      </c>
      <c r="H2844" t="s">
        <v>30</v>
      </c>
      <c r="L2844" t="s">
        <v>20</v>
      </c>
      <c r="M2844" t="s">
        <v>10834</v>
      </c>
    </row>
    <row r="2845" spans="1:13" x14ac:dyDescent="0.25">
      <c r="A2845">
        <v>6913545</v>
      </c>
      <c r="B2845" t="s">
        <v>10835</v>
      </c>
      <c r="C2845" t="str">
        <f>"9788021095212"</f>
        <v>9788021095212</v>
      </c>
      <c r="D2845" t="str">
        <f>"9788021095229"</f>
        <v>9788021095229</v>
      </c>
      <c r="E2845" t="s">
        <v>10727</v>
      </c>
      <c r="F2845" s="1">
        <v>43647</v>
      </c>
      <c r="G2845" t="s">
        <v>10836</v>
      </c>
      <c r="H2845" t="s">
        <v>5236</v>
      </c>
      <c r="L2845" t="s">
        <v>20</v>
      </c>
      <c r="M2845" t="s">
        <v>10837</v>
      </c>
    </row>
    <row r="2846" spans="1:13" x14ac:dyDescent="0.25">
      <c r="A2846">
        <v>6913546</v>
      </c>
      <c r="B2846" t="s">
        <v>10838</v>
      </c>
      <c r="C2846" t="str">
        <f>""</f>
        <v/>
      </c>
      <c r="D2846" t="str">
        <f>"9788021095274"</f>
        <v>9788021095274</v>
      </c>
      <c r="E2846" t="s">
        <v>10727</v>
      </c>
      <c r="F2846" s="1">
        <v>43647</v>
      </c>
      <c r="G2846" t="s">
        <v>10839</v>
      </c>
      <c r="H2846" t="s">
        <v>363</v>
      </c>
      <c r="L2846" t="s">
        <v>10729</v>
      </c>
      <c r="M2846" t="s">
        <v>10840</v>
      </c>
    </row>
    <row r="2847" spans="1:13" x14ac:dyDescent="0.25">
      <c r="A2847">
        <v>6913547</v>
      </c>
      <c r="B2847" t="s">
        <v>10841</v>
      </c>
      <c r="C2847" t="str">
        <f>"9788021095359"</f>
        <v>9788021095359</v>
      </c>
      <c r="D2847" t="str">
        <f>"9788021095366"</f>
        <v>9788021095366</v>
      </c>
      <c r="E2847" t="s">
        <v>10727</v>
      </c>
      <c r="F2847" s="1">
        <v>43647</v>
      </c>
      <c r="G2847" t="s">
        <v>10842</v>
      </c>
      <c r="H2847" t="s">
        <v>246</v>
      </c>
      <c r="L2847" t="s">
        <v>10729</v>
      </c>
      <c r="M2847" t="s">
        <v>10843</v>
      </c>
    </row>
    <row r="2848" spans="1:13" x14ac:dyDescent="0.25">
      <c r="A2848">
        <v>6913548</v>
      </c>
      <c r="B2848" t="s">
        <v>10844</v>
      </c>
      <c r="C2848" t="str">
        <f>"9788021095403"</f>
        <v>9788021095403</v>
      </c>
      <c r="D2848" t="str">
        <f>"9788021095410"</f>
        <v>9788021095410</v>
      </c>
      <c r="E2848" t="s">
        <v>10727</v>
      </c>
      <c r="F2848" s="1">
        <v>43647</v>
      </c>
      <c r="G2848" t="s">
        <v>10845</v>
      </c>
      <c r="H2848" t="s">
        <v>70</v>
      </c>
      <c r="L2848" t="s">
        <v>10729</v>
      </c>
      <c r="M2848" t="s">
        <v>10846</v>
      </c>
    </row>
    <row r="2849" spans="1:13" x14ac:dyDescent="0.25">
      <c r="A2849">
        <v>6913549</v>
      </c>
      <c r="B2849" t="s">
        <v>10847</v>
      </c>
      <c r="C2849" t="str">
        <f>""</f>
        <v/>
      </c>
      <c r="D2849" t="str">
        <f>"9788021095427"</f>
        <v>9788021095427</v>
      </c>
      <c r="E2849" t="s">
        <v>10727</v>
      </c>
      <c r="F2849" s="1">
        <v>44013</v>
      </c>
      <c r="G2849" t="s">
        <v>10848</v>
      </c>
      <c r="H2849" t="s">
        <v>266</v>
      </c>
      <c r="L2849" t="s">
        <v>10729</v>
      </c>
      <c r="M2849" t="s">
        <v>10849</v>
      </c>
    </row>
    <row r="2850" spans="1:13" x14ac:dyDescent="0.25">
      <c r="A2850">
        <v>6913550</v>
      </c>
      <c r="B2850" t="s">
        <v>10850</v>
      </c>
      <c r="C2850" t="str">
        <f>"9788021095465"</f>
        <v>9788021095465</v>
      </c>
      <c r="D2850" t="str">
        <f>"9788021095472"</f>
        <v>9788021095472</v>
      </c>
      <c r="E2850" t="s">
        <v>10727</v>
      </c>
      <c r="F2850" s="1">
        <v>43647</v>
      </c>
      <c r="G2850" t="s">
        <v>10851</v>
      </c>
      <c r="H2850" t="s">
        <v>851</v>
      </c>
      <c r="L2850" t="s">
        <v>10729</v>
      </c>
      <c r="M2850" t="s">
        <v>10852</v>
      </c>
    </row>
    <row r="2851" spans="1:13" x14ac:dyDescent="0.25">
      <c r="A2851">
        <v>6913551</v>
      </c>
      <c r="B2851" t="s">
        <v>10853</v>
      </c>
      <c r="C2851" t="str">
        <f>""</f>
        <v/>
      </c>
      <c r="D2851" t="str">
        <f>"9788021095502"</f>
        <v>9788021095502</v>
      </c>
      <c r="E2851" t="s">
        <v>10727</v>
      </c>
      <c r="F2851" s="1">
        <v>44013</v>
      </c>
      <c r="G2851" t="s">
        <v>10854</v>
      </c>
      <c r="H2851" t="s">
        <v>266</v>
      </c>
      <c r="L2851" t="s">
        <v>10729</v>
      </c>
      <c r="M2851" t="s">
        <v>10855</v>
      </c>
    </row>
    <row r="2852" spans="1:13" x14ac:dyDescent="0.25">
      <c r="A2852">
        <v>6913552</v>
      </c>
      <c r="B2852" t="s">
        <v>10856</v>
      </c>
      <c r="C2852" t="str">
        <f>"9788021095519"</f>
        <v>9788021095519</v>
      </c>
      <c r="D2852" t="str">
        <f>"9788021095526"</f>
        <v>9788021095526</v>
      </c>
      <c r="E2852" t="s">
        <v>10727</v>
      </c>
      <c r="F2852" s="1">
        <v>43647</v>
      </c>
      <c r="G2852" t="s">
        <v>10857</v>
      </c>
      <c r="H2852" t="s">
        <v>70</v>
      </c>
      <c r="L2852" t="s">
        <v>10729</v>
      </c>
      <c r="M2852" t="s">
        <v>10858</v>
      </c>
    </row>
    <row r="2853" spans="1:13" x14ac:dyDescent="0.25">
      <c r="A2853">
        <v>6913553</v>
      </c>
      <c r="B2853" t="s">
        <v>10859</v>
      </c>
      <c r="C2853" t="str">
        <f>""</f>
        <v/>
      </c>
      <c r="D2853" t="str">
        <f>"9788021095564"</f>
        <v>9788021095564</v>
      </c>
      <c r="E2853" t="s">
        <v>10727</v>
      </c>
      <c r="F2853" s="1">
        <v>43647</v>
      </c>
      <c r="G2853" t="s">
        <v>10860</v>
      </c>
      <c r="H2853" t="s">
        <v>363</v>
      </c>
      <c r="L2853" t="s">
        <v>20</v>
      </c>
      <c r="M2853" t="s">
        <v>10861</v>
      </c>
    </row>
    <row r="2854" spans="1:13" x14ac:dyDescent="0.25">
      <c r="A2854">
        <v>6913554</v>
      </c>
      <c r="B2854" t="s">
        <v>10862</v>
      </c>
      <c r="C2854" t="str">
        <f>""</f>
        <v/>
      </c>
      <c r="D2854" t="str">
        <f>"9788021095632"</f>
        <v>9788021095632</v>
      </c>
      <c r="E2854" t="s">
        <v>10727</v>
      </c>
      <c r="F2854" s="1">
        <v>44013</v>
      </c>
      <c r="G2854" t="s">
        <v>10863</v>
      </c>
      <c r="H2854" t="s">
        <v>266</v>
      </c>
      <c r="L2854" t="s">
        <v>20</v>
      </c>
      <c r="M2854" t="s">
        <v>10864</v>
      </c>
    </row>
    <row r="2855" spans="1:13" x14ac:dyDescent="0.25">
      <c r="A2855">
        <v>6913555</v>
      </c>
      <c r="B2855" t="s">
        <v>10865</v>
      </c>
      <c r="C2855" t="str">
        <f>"9788021095663"</f>
        <v>9788021095663</v>
      </c>
      <c r="D2855" t="str">
        <f>"9788021095670"</f>
        <v>9788021095670</v>
      </c>
      <c r="E2855" t="s">
        <v>10727</v>
      </c>
      <c r="F2855" s="1">
        <v>44013</v>
      </c>
      <c r="G2855" t="s">
        <v>10866</v>
      </c>
      <c r="H2855" t="s">
        <v>363</v>
      </c>
      <c r="L2855" t="s">
        <v>10729</v>
      </c>
      <c r="M2855" t="s">
        <v>10867</v>
      </c>
    </row>
    <row r="2856" spans="1:13" x14ac:dyDescent="0.25">
      <c r="A2856">
        <v>6913556</v>
      </c>
      <c r="B2856" t="s">
        <v>10868</v>
      </c>
      <c r="C2856" t="str">
        <f>"9788021091085"</f>
        <v>9788021091085</v>
      </c>
      <c r="D2856" t="str">
        <f>"9788021095724"</f>
        <v>9788021095724</v>
      </c>
      <c r="E2856" t="s">
        <v>10727</v>
      </c>
      <c r="F2856" s="1">
        <v>44013</v>
      </c>
      <c r="G2856" t="s">
        <v>10869</v>
      </c>
      <c r="H2856" t="s">
        <v>851</v>
      </c>
      <c r="L2856" t="s">
        <v>291</v>
      </c>
      <c r="M2856" t="s">
        <v>10870</v>
      </c>
    </row>
    <row r="2857" spans="1:13" x14ac:dyDescent="0.25">
      <c r="A2857">
        <v>6913557</v>
      </c>
      <c r="B2857" t="s">
        <v>10871</v>
      </c>
      <c r="C2857" t="str">
        <f>"9788021066755"</f>
        <v>9788021066755</v>
      </c>
      <c r="D2857" t="str">
        <f>"9788021095731"</f>
        <v>9788021095731</v>
      </c>
      <c r="E2857" t="s">
        <v>10727</v>
      </c>
      <c r="F2857" s="1">
        <v>44013</v>
      </c>
      <c r="G2857" t="s">
        <v>10872</v>
      </c>
      <c r="H2857" t="s">
        <v>363</v>
      </c>
      <c r="L2857" t="s">
        <v>10729</v>
      </c>
      <c r="M2857" t="s">
        <v>10873</v>
      </c>
    </row>
    <row r="2858" spans="1:13" x14ac:dyDescent="0.25">
      <c r="A2858">
        <v>6913558</v>
      </c>
      <c r="B2858" t="s">
        <v>10874</v>
      </c>
      <c r="C2858" t="str">
        <f>"9788021064881"</f>
        <v>9788021064881</v>
      </c>
      <c r="D2858" t="str">
        <f>"9788021095779"</f>
        <v>9788021095779</v>
      </c>
      <c r="E2858" t="s">
        <v>10727</v>
      </c>
      <c r="F2858" s="1">
        <v>44013</v>
      </c>
      <c r="G2858" t="s">
        <v>10875</v>
      </c>
      <c r="H2858" t="s">
        <v>1753</v>
      </c>
      <c r="L2858" t="s">
        <v>10729</v>
      </c>
      <c r="M2858" t="s">
        <v>10876</v>
      </c>
    </row>
    <row r="2859" spans="1:13" x14ac:dyDescent="0.25">
      <c r="A2859">
        <v>6913559</v>
      </c>
      <c r="B2859" t="s">
        <v>10877</v>
      </c>
      <c r="C2859" t="str">
        <f>"9788021095816"</f>
        <v>9788021095816</v>
      </c>
      <c r="D2859" t="str">
        <f>"9788021095823"</f>
        <v>9788021095823</v>
      </c>
      <c r="E2859" t="s">
        <v>10727</v>
      </c>
      <c r="F2859" s="1">
        <v>44013</v>
      </c>
      <c r="G2859" t="s">
        <v>10878</v>
      </c>
      <c r="H2859" t="s">
        <v>363</v>
      </c>
      <c r="L2859" t="s">
        <v>10729</v>
      </c>
      <c r="M2859" t="s">
        <v>10879</v>
      </c>
    </row>
    <row r="2860" spans="1:13" x14ac:dyDescent="0.25">
      <c r="A2860">
        <v>6913560</v>
      </c>
      <c r="B2860" t="s">
        <v>10880</v>
      </c>
      <c r="C2860" t="str">
        <f>""</f>
        <v/>
      </c>
      <c r="D2860" t="str">
        <f>"9788021095908"</f>
        <v>9788021095908</v>
      </c>
      <c r="E2860" t="s">
        <v>10727</v>
      </c>
      <c r="F2860" s="1">
        <v>43647</v>
      </c>
      <c r="G2860" t="s">
        <v>10881</v>
      </c>
      <c r="H2860" t="s">
        <v>363</v>
      </c>
      <c r="L2860" t="s">
        <v>20</v>
      </c>
      <c r="M2860" t="s">
        <v>10882</v>
      </c>
    </row>
    <row r="2861" spans="1:13" x14ac:dyDescent="0.25">
      <c r="A2861">
        <v>6913561</v>
      </c>
      <c r="B2861" t="s">
        <v>10883</v>
      </c>
      <c r="C2861" t="str">
        <f>"9788021095892"</f>
        <v>9788021095892</v>
      </c>
      <c r="D2861" t="str">
        <f>"9788021095915"</f>
        <v>9788021095915</v>
      </c>
      <c r="E2861" t="s">
        <v>10727</v>
      </c>
      <c r="F2861" s="1">
        <v>44013</v>
      </c>
      <c r="G2861" t="s">
        <v>10884</v>
      </c>
      <c r="H2861" t="s">
        <v>363</v>
      </c>
      <c r="L2861" t="s">
        <v>20</v>
      </c>
      <c r="M2861" t="s">
        <v>10885</v>
      </c>
    </row>
    <row r="2862" spans="1:13" x14ac:dyDescent="0.25">
      <c r="A2862">
        <v>6913562</v>
      </c>
      <c r="B2862" t="s">
        <v>10886</v>
      </c>
      <c r="C2862" t="str">
        <f>""</f>
        <v/>
      </c>
      <c r="D2862" t="str">
        <f>"9788021095922"</f>
        <v>9788021095922</v>
      </c>
      <c r="E2862" t="s">
        <v>10727</v>
      </c>
      <c r="F2862" s="1">
        <v>43647</v>
      </c>
      <c r="G2862" t="s">
        <v>10887</v>
      </c>
      <c r="H2862" t="s">
        <v>363</v>
      </c>
      <c r="L2862" t="s">
        <v>20</v>
      </c>
      <c r="M2862" t="s">
        <v>10888</v>
      </c>
    </row>
    <row r="2863" spans="1:13" x14ac:dyDescent="0.25">
      <c r="A2863">
        <v>6913563</v>
      </c>
      <c r="B2863" t="s">
        <v>10889</v>
      </c>
      <c r="C2863" t="str">
        <f>""</f>
        <v/>
      </c>
      <c r="D2863" t="str">
        <f>"9788021095939"</f>
        <v>9788021095939</v>
      </c>
      <c r="E2863" t="s">
        <v>10727</v>
      </c>
      <c r="F2863" s="1">
        <v>44013</v>
      </c>
      <c r="G2863" t="s">
        <v>10890</v>
      </c>
      <c r="H2863" t="s">
        <v>6615</v>
      </c>
      <c r="L2863" t="s">
        <v>20</v>
      </c>
      <c r="M2863" t="s">
        <v>10891</v>
      </c>
    </row>
    <row r="2864" spans="1:13" x14ac:dyDescent="0.25">
      <c r="A2864">
        <v>6913564</v>
      </c>
      <c r="B2864" t="s">
        <v>10892</v>
      </c>
      <c r="C2864" t="str">
        <f>"9788021065031"</f>
        <v>9788021065031</v>
      </c>
      <c r="D2864" t="str">
        <f>"9788021095946"</f>
        <v>9788021095946</v>
      </c>
      <c r="E2864" t="s">
        <v>10727</v>
      </c>
      <c r="F2864" s="1">
        <v>44013</v>
      </c>
      <c r="G2864" t="s">
        <v>10893</v>
      </c>
      <c r="H2864" t="s">
        <v>2368</v>
      </c>
      <c r="L2864" t="s">
        <v>10729</v>
      </c>
      <c r="M2864" t="s">
        <v>10894</v>
      </c>
    </row>
    <row r="2865" spans="1:13" x14ac:dyDescent="0.25">
      <c r="A2865">
        <v>6913565</v>
      </c>
      <c r="B2865" t="s">
        <v>10895</v>
      </c>
      <c r="C2865" t="str">
        <f>""</f>
        <v/>
      </c>
      <c r="D2865" t="str">
        <f>"9788021095953"</f>
        <v>9788021095953</v>
      </c>
      <c r="E2865" t="s">
        <v>10727</v>
      </c>
      <c r="F2865" s="1">
        <v>43647</v>
      </c>
      <c r="G2865" t="s">
        <v>10896</v>
      </c>
      <c r="H2865" t="s">
        <v>363</v>
      </c>
      <c r="L2865" t="s">
        <v>20</v>
      </c>
      <c r="M2865" t="s">
        <v>10897</v>
      </c>
    </row>
    <row r="2866" spans="1:13" x14ac:dyDescent="0.25">
      <c r="A2866">
        <v>6913566</v>
      </c>
      <c r="B2866" t="s">
        <v>10898</v>
      </c>
      <c r="C2866" t="str">
        <f>""</f>
        <v/>
      </c>
      <c r="D2866" t="str">
        <f>"9788021095991"</f>
        <v>9788021095991</v>
      </c>
      <c r="E2866" t="s">
        <v>10727</v>
      </c>
      <c r="F2866" s="1">
        <v>43647</v>
      </c>
      <c r="G2866" t="s">
        <v>10899</v>
      </c>
      <c r="H2866" t="s">
        <v>363</v>
      </c>
      <c r="L2866" t="s">
        <v>20</v>
      </c>
      <c r="M2866" t="s">
        <v>10900</v>
      </c>
    </row>
    <row r="2867" spans="1:13" x14ac:dyDescent="0.25">
      <c r="A2867">
        <v>6913567</v>
      </c>
      <c r="B2867" t="s">
        <v>10901</v>
      </c>
      <c r="C2867" t="str">
        <f>"9788021093829"</f>
        <v>9788021093829</v>
      </c>
      <c r="D2867" t="str">
        <f>"9788021096059"</f>
        <v>9788021096059</v>
      </c>
      <c r="E2867" t="s">
        <v>10727</v>
      </c>
      <c r="F2867" s="1">
        <v>44013</v>
      </c>
      <c r="G2867" t="s">
        <v>10902</v>
      </c>
      <c r="H2867" t="s">
        <v>139</v>
      </c>
      <c r="L2867" t="s">
        <v>20</v>
      </c>
      <c r="M2867" t="s">
        <v>10903</v>
      </c>
    </row>
    <row r="2868" spans="1:13" x14ac:dyDescent="0.25">
      <c r="A2868">
        <v>6913568</v>
      </c>
      <c r="B2868" t="s">
        <v>10904</v>
      </c>
      <c r="C2868" t="str">
        <f>""</f>
        <v/>
      </c>
      <c r="D2868" t="str">
        <f>"9788021096110"</f>
        <v>9788021096110</v>
      </c>
      <c r="E2868" t="s">
        <v>10727</v>
      </c>
      <c r="F2868" s="1">
        <v>44013</v>
      </c>
      <c r="G2868" t="s">
        <v>10905</v>
      </c>
      <c r="H2868" t="s">
        <v>8523</v>
      </c>
      <c r="L2868" t="s">
        <v>10729</v>
      </c>
      <c r="M2868" t="s">
        <v>10906</v>
      </c>
    </row>
    <row r="2869" spans="1:13" x14ac:dyDescent="0.25">
      <c r="A2869">
        <v>6913569</v>
      </c>
      <c r="B2869" t="s">
        <v>10907</v>
      </c>
      <c r="C2869" t="str">
        <f>""</f>
        <v/>
      </c>
      <c r="D2869" t="str">
        <f>"9788021096202"</f>
        <v>9788021096202</v>
      </c>
      <c r="E2869" t="s">
        <v>10727</v>
      </c>
      <c r="F2869" s="1">
        <v>43647</v>
      </c>
      <c r="G2869" t="s">
        <v>10908</v>
      </c>
      <c r="H2869" t="s">
        <v>363</v>
      </c>
      <c r="L2869" t="s">
        <v>20</v>
      </c>
      <c r="M2869" t="s">
        <v>10909</v>
      </c>
    </row>
    <row r="2870" spans="1:13" x14ac:dyDescent="0.25">
      <c r="A2870">
        <v>6913570</v>
      </c>
      <c r="B2870" t="s">
        <v>10910</v>
      </c>
      <c r="C2870" t="str">
        <f>"9788021096240"</f>
        <v>9788021096240</v>
      </c>
      <c r="D2870" t="str">
        <f>"9788021096257"</f>
        <v>9788021096257</v>
      </c>
      <c r="E2870" t="s">
        <v>10727</v>
      </c>
      <c r="F2870" s="1">
        <v>44013</v>
      </c>
      <c r="G2870" t="s">
        <v>10911</v>
      </c>
      <c r="H2870" t="s">
        <v>363</v>
      </c>
      <c r="L2870" t="s">
        <v>10729</v>
      </c>
      <c r="M2870" t="s">
        <v>10912</v>
      </c>
    </row>
    <row r="2871" spans="1:13" x14ac:dyDescent="0.25">
      <c r="A2871">
        <v>6913571</v>
      </c>
      <c r="B2871" t="s">
        <v>10913</v>
      </c>
      <c r="C2871" t="str">
        <f>""</f>
        <v/>
      </c>
      <c r="D2871" t="str">
        <f>"9788021096318"</f>
        <v>9788021096318</v>
      </c>
      <c r="E2871" t="s">
        <v>10727</v>
      </c>
      <c r="F2871" s="1">
        <v>44013</v>
      </c>
      <c r="G2871" t="s">
        <v>10914</v>
      </c>
      <c r="H2871" t="s">
        <v>3887</v>
      </c>
      <c r="L2871" t="s">
        <v>20</v>
      </c>
      <c r="M2871" t="s">
        <v>10915</v>
      </c>
    </row>
    <row r="2872" spans="1:13" x14ac:dyDescent="0.25">
      <c r="A2872">
        <v>6913572</v>
      </c>
      <c r="B2872" t="s">
        <v>10916</v>
      </c>
      <c r="C2872" t="str">
        <f>""</f>
        <v/>
      </c>
      <c r="D2872" t="str">
        <f>"9788021096325"</f>
        <v>9788021096325</v>
      </c>
      <c r="E2872" t="s">
        <v>10727</v>
      </c>
      <c r="F2872" s="1">
        <v>44013</v>
      </c>
      <c r="G2872" t="s">
        <v>10917</v>
      </c>
      <c r="H2872" t="s">
        <v>780</v>
      </c>
      <c r="L2872" t="s">
        <v>10729</v>
      </c>
      <c r="M2872" t="s">
        <v>10918</v>
      </c>
    </row>
    <row r="2873" spans="1:13" x14ac:dyDescent="0.25">
      <c r="A2873">
        <v>6913573</v>
      </c>
      <c r="B2873" t="s">
        <v>10919</v>
      </c>
      <c r="C2873" t="str">
        <f>""</f>
        <v/>
      </c>
      <c r="D2873" t="str">
        <f>"9788021096271"</f>
        <v>9788021096271</v>
      </c>
      <c r="E2873" t="s">
        <v>10727</v>
      </c>
      <c r="F2873" s="1">
        <v>44013</v>
      </c>
      <c r="G2873" t="s">
        <v>10920</v>
      </c>
      <c r="H2873" t="s">
        <v>5236</v>
      </c>
      <c r="L2873" t="s">
        <v>10729</v>
      </c>
      <c r="M2873" t="s">
        <v>10921</v>
      </c>
    </row>
    <row r="2874" spans="1:13" x14ac:dyDescent="0.25">
      <c r="A2874">
        <v>6913574</v>
      </c>
      <c r="B2874" t="s">
        <v>10922</v>
      </c>
      <c r="C2874" t="str">
        <f>"9788021096394"</f>
        <v>9788021096394</v>
      </c>
      <c r="D2874" t="str">
        <f>"9788021096400"</f>
        <v>9788021096400</v>
      </c>
      <c r="E2874" t="s">
        <v>10727</v>
      </c>
      <c r="F2874" s="1">
        <v>44013</v>
      </c>
      <c r="G2874" t="s">
        <v>10923</v>
      </c>
      <c r="H2874" t="s">
        <v>246</v>
      </c>
      <c r="L2874" t="s">
        <v>10729</v>
      </c>
      <c r="M2874" t="s">
        <v>10924</v>
      </c>
    </row>
    <row r="2875" spans="1:13" x14ac:dyDescent="0.25">
      <c r="A2875">
        <v>6913575</v>
      </c>
      <c r="B2875" t="s">
        <v>10925</v>
      </c>
      <c r="C2875" t="str">
        <f>""</f>
        <v/>
      </c>
      <c r="D2875" t="str">
        <f>"9788021096417"</f>
        <v>9788021096417</v>
      </c>
      <c r="E2875" t="s">
        <v>10727</v>
      </c>
      <c r="F2875" s="1">
        <v>44013</v>
      </c>
      <c r="G2875" t="s">
        <v>10926</v>
      </c>
      <c r="H2875" t="s">
        <v>363</v>
      </c>
      <c r="L2875" t="s">
        <v>20</v>
      </c>
      <c r="M2875" t="s">
        <v>10927</v>
      </c>
    </row>
    <row r="2876" spans="1:13" x14ac:dyDescent="0.25">
      <c r="A2876">
        <v>6913576</v>
      </c>
      <c r="B2876" t="s">
        <v>10928</v>
      </c>
      <c r="C2876" t="str">
        <f>""</f>
        <v/>
      </c>
      <c r="D2876" t="str">
        <f>"9788021096431"</f>
        <v>9788021096431</v>
      </c>
      <c r="E2876" t="s">
        <v>10727</v>
      </c>
      <c r="F2876" s="1">
        <v>43647</v>
      </c>
      <c r="G2876" t="s">
        <v>10929</v>
      </c>
      <c r="H2876" t="s">
        <v>363</v>
      </c>
      <c r="L2876" t="s">
        <v>20</v>
      </c>
      <c r="M2876" t="s">
        <v>10930</v>
      </c>
    </row>
    <row r="2877" spans="1:13" x14ac:dyDescent="0.25">
      <c r="A2877">
        <v>6913577</v>
      </c>
      <c r="B2877" t="s">
        <v>10931</v>
      </c>
      <c r="C2877" t="str">
        <f>"9788021096479"</f>
        <v>9788021096479</v>
      </c>
      <c r="D2877" t="str">
        <f>"9788021096486"</f>
        <v>9788021096486</v>
      </c>
      <c r="E2877" t="s">
        <v>10727</v>
      </c>
      <c r="F2877" s="1">
        <v>44013</v>
      </c>
      <c r="G2877" t="s">
        <v>10932</v>
      </c>
      <c r="H2877" t="s">
        <v>1753</v>
      </c>
      <c r="L2877" t="s">
        <v>20</v>
      </c>
      <c r="M2877" t="s">
        <v>10933</v>
      </c>
    </row>
    <row r="2878" spans="1:13" x14ac:dyDescent="0.25">
      <c r="A2878">
        <v>6913578</v>
      </c>
      <c r="B2878" t="s">
        <v>10934</v>
      </c>
      <c r="C2878" t="str">
        <f>"9788021096516"</f>
        <v>9788021096516</v>
      </c>
      <c r="D2878" t="str">
        <f>"9788021096523"</f>
        <v>9788021096523</v>
      </c>
      <c r="E2878" t="s">
        <v>10727</v>
      </c>
      <c r="F2878" s="1">
        <v>44013</v>
      </c>
      <c r="G2878" t="s">
        <v>10935</v>
      </c>
      <c r="H2878" t="s">
        <v>363</v>
      </c>
      <c r="L2878" t="s">
        <v>10729</v>
      </c>
      <c r="M2878" t="s">
        <v>10936</v>
      </c>
    </row>
    <row r="2879" spans="1:13" x14ac:dyDescent="0.25">
      <c r="A2879">
        <v>6913579</v>
      </c>
      <c r="B2879" t="s">
        <v>10937</v>
      </c>
      <c r="C2879" t="str">
        <f>""</f>
        <v/>
      </c>
      <c r="D2879" t="str">
        <f>"9788021096714"</f>
        <v>9788021096714</v>
      </c>
      <c r="E2879" t="s">
        <v>10727</v>
      </c>
      <c r="F2879" s="1">
        <v>44013</v>
      </c>
      <c r="G2879" t="s">
        <v>10938</v>
      </c>
      <c r="H2879" t="s">
        <v>266</v>
      </c>
      <c r="L2879" t="s">
        <v>20</v>
      </c>
      <c r="M2879" t="s">
        <v>10939</v>
      </c>
    </row>
    <row r="2880" spans="1:13" x14ac:dyDescent="0.25">
      <c r="A2880">
        <v>6913580</v>
      </c>
      <c r="B2880" t="s">
        <v>10940</v>
      </c>
      <c r="C2880" t="str">
        <f>""</f>
        <v/>
      </c>
      <c r="D2880" t="str">
        <f>"9788021096745"</f>
        <v>9788021096745</v>
      </c>
      <c r="E2880" t="s">
        <v>10727</v>
      </c>
      <c r="F2880" s="1">
        <v>43647</v>
      </c>
      <c r="G2880" t="s">
        <v>10941</v>
      </c>
      <c r="H2880" t="s">
        <v>363</v>
      </c>
      <c r="L2880" t="s">
        <v>20</v>
      </c>
      <c r="M2880" t="s">
        <v>10942</v>
      </c>
    </row>
    <row r="2881" spans="1:13" x14ac:dyDescent="0.25">
      <c r="A2881">
        <v>6913581</v>
      </c>
      <c r="B2881" t="s">
        <v>10943</v>
      </c>
      <c r="C2881" t="str">
        <f>""</f>
        <v/>
      </c>
      <c r="D2881" t="str">
        <f>"9788021096752"</f>
        <v>9788021096752</v>
      </c>
      <c r="E2881" t="s">
        <v>10727</v>
      </c>
      <c r="F2881" s="1">
        <v>43647</v>
      </c>
      <c r="G2881" t="s">
        <v>10944</v>
      </c>
      <c r="H2881" t="s">
        <v>363</v>
      </c>
      <c r="L2881" t="s">
        <v>20</v>
      </c>
      <c r="M2881" t="s">
        <v>10945</v>
      </c>
    </row>
    <row r="2882" spans="1:13" x14ac:dyDescent="0.25">
      <c r="A2882">
        <v>6913582</v>
      </c>
      <c r="B2882" t="s">
        <v>10946</v>
      </c>
      <c r="C2882" t="str">
        <f>""</f>
        <v/>
      </c>
      <c r="D2882" t="str">
        <f>"9788021096783"</f>
        <v>9788021096783</v>
      </c>
      <c r="E2882" t="s">
        <v>10727</v>
      </c>
      <c r="F2882" s="1">
        <v>43647</v>
      </c>
      <c r="G2882" t="s">
        <v>10896</v>
      </c>
      <c r="H2882" t="s">
        <v>363</v>
      </c>
      <c r="L2882" t="s">
        <v>20</v>
      </c>
      <c r="M2882" t="s">
        <v>10947</v>
      </c>
    </row>
    <row r="2883" spans="1:13" x14ac:dyDescent="0.25">
      <c r="A2883">
        <v>6913583</v>
      </c>
      <c r="B2883" t="s">
        <v>10948</v>
      </c>
      <c r="C2883" t="str">
        <f>"9788021096875"</f>
        <v>9788021096875</v>
      </c>
      <c r="D2883" t="str">
        <f>"9788021096882"</f>
        <v>9788021096882</v>
      </c>
      <c r="E2883" t="s">
        <v>10727</v>
      </c>
      <c r="F2883" s="1">
        <v>44013</v>
      </c>
      <c r="G2883" t="s">
        <v>10949</v>
      </c>
      <c r="H2883" t="s">
        <v>10950</v>
      </c>
      <c r="L2883" t="s">
        <v>10729</v>
      </c>
      <c r="M2883" t="s">
        <v>10951</v>
      </c>
    </row>
    <row r="2884" spans="1:13" x14ac:dyDescent="0.25">
      <c r="A2884">
        <v>6913584</v>
      </c>
      <c r="B2884" t="s">
        <v>10952</v>
      </c>
      <c r="C2884" t="str">
        <f>""</f>
        <v/>
      </c>
      <c r="D2884" t="str">
        <f>"9788021096905"</f>
        <v>9788021096905</v>
      </c>
      <c r="E2884" t="s">
        <v>10727</v>
      </c>
      <c r="F2884" s="1">
        <v>44013</v>
      </c>
      <c r="G2884" t="s">
        <v>10953</v>
      </c>
      <c r="H2884" t="s">
        <v>851</v>
      </c>
      <c r="L2884" t="s">
        <v>10729</v>
      </c>
      <c r="M2884" t="s">
        <v>10954</v>
      </c>
    </row>
    <row r="2885" spans="1:13" x14ac:dyDescent="0.25">
      <c r="A2885">
        <v>6913585</v>
      </c>
      <c r="B2885" t="s">
        <v>10955</v>
      </c>
      <c r="C2885" t="str">
        <f>"9788021096660"</f>
        <v>9788021096660</v>
      </c>
      <c r="D2885" t="str">
        <f>"9788021096929"</f>
        <v>9788021096929</v>
      </c>
      <c r="E2885" t="s">
        <v>10727</v>
      </c>
      <c r="F2885" s="1">
        <v>44013</v>
      </c>
      <c r="G2885" t="s">
        <v>10956</v>
      </c>
      <c r="H2885" t="s">
        <v>10957</v>
      </c>
      <c r="L2885" t="s">
        <v>10729</v>
      </c>
      <c r="M2885" t="s">
        <v>10958</v>
      </c>
    </row>
    <row r="2886" spans="1:13" x14ac:dyDescent="0.25">
      <c r="A2886">
        <v>6913586</v>
      </c>
      <c r="B2886" t="s">
        <v>10959</v>
      </c>
      <c r="C2886" t="str">
        <f>"9788021096936"</f>
        <v>9788021096936</v>
      </c>
      <c r="D2886" t="str">
        <f>"9788021096943"</f>
        <v>9788021096943</v>
      </c>
      <c r="E2886" t="s">
        <v>10727</v>
      </c>
      <c r="F2886" s="1">
        <v>44013</v>
      </c>
      <c r="G2886" t="s">
        <v>10960</v>
      </c>
      <c r="H2886" t="s">
        <v>5236</v>
      </c>
      <c r="L2886" t="s">
        <v>20</v>
      </c>
      <c r="M2886" t="s">
        <v>10961</v>
      </c>
    </row>
    <row r="2887" spans="1:13" x14ac:dyDescent="0.25">
      <c r="A2887">
        <v>6913587</v>
      </c>
      <c r="B2887" t="s">
        <v>10962</v>
      </c>
      <c r="C2887" t="str">
        <f>"9788021097032"</f>
        <v>9788021097032</v>
      </c>
      <c r="D2887" t="str">
        <f>"9788021097049"</f>
        <v>9788021097049</v>
      </c>
      <c r="E2887" t="s">
        <v>10727</v>
      </c>
      <c r="F2887" s="1">
        <v>44013</v>
      </c>
      <c r="G2887" t="s">
        <v>10963</v>
      </c>
      <c r="H2887" t="s">
        <v>3107</v>
      </c>
      <c r="L2887" t="s">
        <v>10729</v>
      </c>
      <c r="M2887" t="s">
        <v>10964</v>
      </c>
    </row>
    <row r="2888" spans="1:13" x14ac:dyDescent="0.25">
      <c r="A2888">
        <v>6913588</v>
      </c>
      <c r="B2888" t="s">
        <v>10965</v>
      </c>
      <c r="C2888" t="str">
        <f>"9788021097087"</f>
        <v>9788021097087</v>
      </c>
      <c r="D2888" t="str">
        <f>"9788021097117"</f>
        <v>9788021097117</v>
      </c>
      <c r="E2888" t="s">
        <v>10727</v>
      </c>
      <c r="F2888" s="1">
        <v>44013</v>
      </c>
      <c r="G2888" t="s">
        <v>10966</v>
      </c>
      <c r="H2888" t="s">
        <v>64</v>
      </c>
      <c r="L2888" t="s">
        <v>10729</v>
      </c>
      <c r="M2888" t="s">
        <v>10967</v>
      </c>
    </row>
    <row r="2889" spans="1:13" x14ac:dyDescent="0.25">
      <c r="A2889">
        <v>6913589</v>
      </c>
      <c r="B2889" t="s">
        <v>10968</v>
      </c>
      <c r="C2889" t="str">
        <f>"9788021097490"</f>
        <v>9788021097490</v>
      </c>
      <c r="D2889" t="str">
        <f>"9788021097308"</f>
        <v>9788021097308</v>
      </c>
      <c r="E2889" t="s">
        <v>10727</v>
      </c>
      <c r="F2889" s="1">
        <v>44013</v>
      </c>
      <c r="G2889" t="s">
        <v>10969</v>
      </c>
      <c r="H2889" t="s">
        <v>41</v>
      </c>
      <c r="L2889" t="s">
        <v>10729</v>
      </c>
      <c r="M2889" t="s">
        <v>10970</v>
      </c>
    </row>
    <row r="2890" spans="1:13" x14ac:dyDescent="0.25">
      <c r="A2890">
        <v>6913590</v>
      </c>
      <c r="B2890" t="s">
        <v>10971</v>
      </c>
      <c r="C2890" t="str">
        <f>"9788021097414"</f>
        <v>9788021097414</v>
      </c>
      <c r="D2890" t="str">
        <f>"9788021097421"</f>
        <v>9788021097421</v>
      </c>
      <c r="E2890" t="s">
        <v>10727</v>
      </c>
      <c r="F2890" s="1">
        <v>44013</v>
      </c>
      <c r="G2890" t="s">
        <v>10972</v>
      </c>
      <c r="H2890" t="s">
        <v>2368</v>
      </c>
      <c r="L2890" t="s">
        <v>20</v>
      </c>
      <c r="M2890" t="s">
        <v>10973</v>
      </c>
    </row>
    <row r="2891" spans="1:13" x14ac:dyDescent="0.25">
      <c r="A2891">
        <v>6913591</v>
      </c>
      <c r="B2891" t="s">
        <v>10974</v>
      </c>
      <c r="C2891" t="str">
        <f>"9788021097438"</f>
        <v>9788021097438</v>
      </c>
      <c r="D2891" t="str">
        <f>"9788021097445"</f>
        <v>9788021097445</v>
      </c>
      <c r="E2891" t="s">
        <v>10727</v>
      </c>
      <c r="F2891" s="1">
        <v>44378</v>
      </c>
      <c r="G2891" t="s">
        <v>10975</v>
      </c>
      <c r="H2891" t="s">
        <v>4109</v>
      </c>
      <c r="L2891" t="s">
        <v>20</v>
      </c>
      <c r="M2891" t="s">
        <v>10976</v>
      </c>
    </row>
    <row r="2892" spans="1:13" x14ac:dyDescent="0.25">
      <c r="A2892">
        <v>6913592</v>
      </c>
      <c r="B2892" t="s">
        <v>10977</v>
      </c>
      <c r="C2892" t="str">
        <f>"9788021097452"</f>
        <v>9788021097452</v>
      </c>
      <c r="D2892" t="str">
        <f>"9788021097469"</f>
        <v>9788021097469</v>
      </c>
      <c r="E2892" t="s">
        <v>10727</v>
      </c>
      <c r="F2892" s="1">
        <v>44013</v>
      </c>
      <c r="G2892" t="s">
        <v>10978</v>
      </c>
      <c r="H2892" t="s">
        <v>10979</v>
      </c>
      <c r="L2892" t="s">
        <v>10729</v>
      </c>
      <c r="M2892" t="s">
        <v>10980</v>
      </c>
    </row>
    <row r="2893" spans="1:13" x14ac:dyDescent="0.25">
      <c r="A2893">
        <v>6913593</v>
      </c>
      <c r="B2893" t="s">
        <v>10981</v>
      </c>
      <c r="C2893" t="str">
        <f>"9788021097537"</f>
        <v>9788021097537</v>
      </c>
      <c r="D2893" t="str">
        <f>"9788021097544"</f>
        <v>9788021097544</v>
      </c>
      <c r="E2893" t="s">
        <v>10727</v>
      </c>
      <c r="F2893" s="1">
        <v>44013</v>
      </c>
      <c r="G2893" t="s">
        <v>10982</v>
      </c>
      <c r="H2893" t="s">
        <v>363</v>
      </c>
      <c r="L2893" t="s">
        <v>10729</v>
      </c>
      <c r="M2893" t="s">
        <v>10983</v>
      </c>
    </row>
    <row r="2894" spans="1:13" x14ac:dyDescent="0.25">
      <c r="A2894">
        <v>6913594</v>
      </c>
      <c r="B2894" t="s">
        <v>10984</v>
      </c>
      <c r="C2894" t="str">
        <f>"9788021097575"</f>
        <v>9788021097575</v>
      </c>
      <c r="D2894" t="str">
        <f>"9788021097582"</f>
        <v>9788021097582</v>
      </c>
      <c r="E2894" t="s">
        <v>10727</v>
      </c>
      <c r="F2894" s="1">
        <v>44378</v>
      </c>
      <c r="G2894" t="s">
        <v>10985</v>
      </c>
      <c r="H2894" t="s">
        <v>83</v>
      </c>
      <c r="L2894" t="s">
        <v>20</v>
      </c>
      <c r="M2894" t="s">
        <v>10986</v>
      </c>
    </row>
    <row r="2895" spans="1:13" x14ac:dyDescent="0.25">
      <c r="A2895">
        <v>6913595</v>
      </c>
      <c r="B2895" t="s">
        <v>10987</v>
      </c>
      <c r="C2895" t="str">
        <f>"9788021097605"</f>
        <v>9788021097605</v>
      </c>
      <c r="D2895" t="str">
        <f>"9788021097612"</f>
        <v>9788021097612</v>
      </c>
      <c r="E2895" t="s">
        <v>10727</v>
      </c>
      <c r="F2895" s="1">
        <v>44013</v>
      </c>
      <c r="G2895" t="s">
        <v>10988</v>
      </c>
      <c r="H2895" t="s">
        <v>246</v>
      </c>
      <c r="L2895" t="s">
        <v>20</v>
      </c>
      <c r="M2895" t="s">
        <v>10989</v>
      </c>
    </row>
    <row r="2896" spans="1:13" x14ac:dyDescent="0.25">
      <c r="A2896">
        <v>6913596</v>
      </c>
      <c r="B2896" t="s">
        <v>10990</v>
      </c>
      <c r="C2896" t="str">
        <f>"9788021097629"</f>
        <v>9788021097629</v>
      </c>
      <c r="D2896" t="str">
        <f>"9788021097636"</f>
        <v>9788021097636</v>
      </c>
      <c r="E2896" t="s">
        <v>10727</v>
      </c>
      <c r="F2896" s="1">
        <v>44378</v>
      </c>
      <c r="G2896" t="s">
        <v>10991</v>
      </c>
      <c r="H2896" t="s">
        <v>363</v>
      </c>
      <c r="L2896" t="s">
        <v>10729</v>
      </c>
      <c r="M2896" t="s">
        <v>10992</v>
      </c>
    </row>
    <row r="2897" spans="1:13" x14ac:dyDescent="0.25">
      <c r="A2897">
        <v>6913597</v>
      </c>
      <c r="B2897" t="s">
        <v>10993</v>
      </c>
      <c r="C2897" t="str">
        <f>"9788021097667"</f>
        <v>9788021097667</v>
      </c>
      <c r="D2897" t="str">
        <f>"9788021097674"</f>
        <v>9788021097674</v>
      </c>
      <c r="E2897" t="s">
        <v>10727</v>
      </c>
      <c r="F2897" s="1">
        <v>44013</v>
      </c>
      <c r="G2897" t="s">
        <v>10994</v>
      </c>
      <c r="H2897" t="s">
        <v>851</v>
      </c>
      <c r="L2897" t="s">
        <v>20</v>
      </c>
      <c r="M2897" t="s">
        <v>10995</v>
      </c>
    </row>
    <row r="2898" spans="1:13" x14ac:dyDescent="0.25">
      <c r="A2898">
        <v>6913598</v>
      </c>
      <c r="B2898" t="s">
        <v>10996</v>
      </c>
      <c r="C2898" t="str">
        <f>"9788021031036"</f>
        <v>9788021031036</v>
      </c>
      <c r="D2898" t="str">
        <f>"9788021097698"</f>
        <v>9788021097698</v>
      </c>
      <c r="E2898" t="s">
        <v>10727</v>
      </c>
      <c r="F2898" s="1">
        <v>44378</v>
      </c>
      <c r="G2898" t="s">
        <v>10997</v>
      </c>
      <c r="H2898" t="s">
        <v>83</v>
      </c>
      <c r="L2898" t="s">
        <v>10729</v>
      </c>
      <c r="M2898" t="s">
        <v>10998</v>
      </c>
    </row>
    <row r="2899" spans="1:13" x14ac:dyDescent="0.25">
      <c r="A2899">
        <v>6913599</v>
      </c>
      <c r="B2899" t="s">
        <v>10999</v>
      </c>
      <c r="C2899" t="str">
        <f>""</f>
        <v/>
      </c>
      <c r="D2899" t="str">
        <f>"9788021097810"</f>
        <v>9788021097810</v>
      </c>
      <c r="E2899" t="s">
        <v>10727</v>
      </c>
      <c r="F2899" s="1">
        <v>44013</v>
      </c>
      <c r="G2899" t="s">
        <v>11000</v>
      </c>
      <c r="H2899" t="s">
        <v>851</v>
      </c>
      <c r="L2899" t="s">
        <v>20</v>
      </c>
      <c r="M2899" t="s">
        <v>11001</v>
      </c>
    </row>
    <row r="2900" spans="1:13" x14ac:dyDescent="0.25">
      <c r="A2900">
        <v>6913600</v>
      </c>
      <c r="B2900" t="s">
        <v>11002</v>
      </c>
      <c r="C2900" t="str">
        <f>""</f>
        <v/>
      </c>
      <c r="D2900" t="str">
        <f>"9788021097872"</f>
        <v>9788021097872</v>
      </c>
      <c r="E2900" t="s">
        <v>10727</v>
      </c>
      <c r="F2900" s="1">
        <v>44378</v>
      </c>
      <c r="G2900" t="s">
        <v>11003</v>
      </c>
      <c r="H2900" t="s">
        <v>3887</v>
      </c>
      <c r="L2900" t="s">
        <v>10729</v>
      </c>
      <c r="M2900" t="s">
        <v>11004</v>
      </c>
    </row>
    <row r="2901" spans="1:13" x14ac:dyDescent="0.25">
      <c r="A2901">
        <v>6913601</v>
      </c>
      <c r="B2901" t="s">
        <v>11005</v>
      </c>
      <c r="C2901" t="str">
        <f>""</f>
        <v/>
      </c>
      <c r="D2901" t="str">
        <f>"9788021097889"</f>
        <v>9788021097889</v>
      </c>
      <c r="E2901" t="s">
        <v>10727</v>
      </c>
      <c r="F2901" s="1">
        <v>44013</v>
      </c>
      <c r="G2901" t="s">
        <v>10732</v>
      </c>
      <c r="H2901" t="s">
        <v>266</v>
      </c>
      <c r="L2901" t="s">
        <v>10729</v>
      </c>
      <c r="M2901" t="s">
        <v>11006</v>
      </c>
    </row>
    <row r="2902" spans="1:13" x14ac:dyDescent="0.25">
      <c r="A2902">
        <v>6913602</v>
      </c>
      <c r="B2902" t="s">
        <v>11007</v>
      </c>
      <c r="C2902" t="str">
        <f>"9788021097988"</f>
        <v>9788021097988</v>
      </c>
      <c r="D2902" t="str">
        <f>"9788021097995"</f>
        <v>9788021097995</v>
      </c>
      <c r="E2902" t="s">
        <v>10727</v>
      </c>
      <c r="F2902" s="1">
        <v>44378</v>
      </c>
      <c r="G2902" t="s">
        <v>11008</v>
      </c>
      <c r="H2902" t="s">
        <v>851</v>
      </c>
      <c r="L2902" t="s">
        <v>4340</v>
      </c>
      <c r="M2902" t="s">
        <v>11009</v>
      </c>
    </row>
    <row r="2903" spans="1:13" x14ac:dyDescent="0.25">
      <c r="A2903">
        <v>6913603</v>
      </c>
      <c r="B2903" t="s">
        <v>11010</v>
      </c>
      <c r="C2903" t="str">
        <f>"9788021098022"</f>
        <v>9788021098022</v>
      </c>
      <c r="D2903" t="str">
        <f>"9788021098039"</f>
        <v>9788021098039</v>
      </c>
      <c r="E2903" t="s">
        <v>10727</v>
      </c>
      <c r="F2903" s="1">
        <v>44013</v>
      </c>
      <c r="G2903" t="s">
        <v>11011</v>
      </c>
      <c r="H2903" t="s">
        <v>3887</v>
      </c>
      <c r="L2903" t="s">
        <v>20</v>
      </c>
      <c r="M2903" t="s">
        <v>11012</v>
      </c>
    </row>
    <row r="2904" spans="1:13" x14ac:dyDescent="0.25">
      <c r="A2904">
        <v>6913604</v>
      </c>
      <c r="B2904" t="s">
        <v>11013</v>
      </c>
      <c r="C2904" t="str">
        <f>"9788021098091"</f>
        <v>9788021098091</v>
      </c>
      <c r="D2904" t="str">
        <f>"9788021098107"</f>
        <v>9788021098107</v>
      </c>
      <c r="E2904" t="s">
        <v>10727</v>
      </c>
      <c r="F2904" s="1">
        <v>44378</v>
      </c>
      <c r="G2904" t="s">
        <v>11014</v>
      </c>
      <c r="H2904" t="s">
        <v>363</v>
      </c>
      <c r="L2904" t="s">
        <v>10729</v>
      </c>
      <c r="M2904" t="s">
        <v>11015</v>
      </c>
    </row>
    <row r="2905" spans="1:13" x14ac:dyDescent="0.25">
      <c r="A2905">
        <v>6913605</v>
      </c>
      <c r="B2905" t="s">
        <v>11016</v>
      </c>
      <c r="C2905" t="str">
        <f>"9788021098183"</f>
        <v>9788021098183</v>
      </c>
      <c r="D2905" t="str">
        <f>"9788021098190"</f>
        <v>9788021098190</v>
      </c>
      <c r="E2905" t="s">
        <v>10727</v>
      </c>
      <c r="F2905" s="1">
        <v>44013</v>
      </c>
      <c r="G2905" t="s">
        <v>11017</v>
      </c>
      <c r="H2905" t="s">
        <v>1178</v>
      </c>
      <c r="L2905" t="s">
        <v>10729</v>
      </c>
      <c r="M2905" t="s">
        <v>11018</v>
      </c>
    </row>
    <row r="2906" spans="1:13" x14ac:dyDescent="0.25">
      <c r="A2906">
        <v>6913606</v>
      </c>
      <c r="B2906" t="s">
        <v>11019</v>
      </c>
      <c r="C2906" t="str">
        <f>"9788021098213"</f>
        <v>9788021098213</v>
      </c>
      <c r="D2906" t="str">
        <f>"9788021098220"</f>
        <v>9788021098220</v>
      </c>
      <c r="E2906" t="s">
        <v>10727</v>
      </c>
      <c r="F2906" s="1">
        <v>44013</v>
      </c>
      <c r="G2906" t="s">
        <v>11020</v>
      </c>
      <c r="H2906" t="s">
        <v>851</v>
      </c>
      <c r="L2906" t="s">
        <v>10729</v>
      </c>
      <c r="M2906" t="s">
        <v>11021</v>
      </c>
    </row>
    <row r="2907" spans="1:13" x14ac:dyDescent="0.25">
      <c r="A2907">
        <v>6913607</v>
      </c>
      <c r="B2907" t="s">
        <v>11022</v>
      </c>
      <c r="C2907" t="str">
        <f>""</f>
        <v/>
      </c>
      <c r="D2907" t="str">
        <f>"9788021098305"</f>
        <v>9788021098305</v>
      </c>
      <c r="E2907" t="s">
        <v>10727</v>
      </c>
      <c r="F2907" s="1">
        <v>44013</v>
      </c>
      <c r="G2907" t="s">
        <v>11023</v>
      </c>
      <c r="H2907" t="s">
        <v>363</v>
      </c>
      <c r="L2907" t="s">
        <v>10729</v>
      </c>
      <c r="M2907" t="s">
        <v>11024</v>
      </c>
    </row>
    <row r="2908" spans="1:13" x14ac:dyDescent="0.25">
      <c r="A2908">
        <v>6913608</v>
      </c>
      <c r="B2908" t="s">
        <v>11025</v>
      </c>
      <c r="C2908" t="str">
        <f>""</f>
        <v/>
      </c>
      <c r="D2908" t="str">
        <f>"9788021098312"</f>
        <v>9788021098312</v>
      </c>
      <c r="E2908" t="s">
        <v>10727</v>
      </c>
      <c r="F2908" s="1">
        <v>44013</v>
      </c>
      <c r="G2908" t="s">
        <v>11026</v>
      </c>
      <c r="H2908" t="s">
        <v>363</v>
      </c>
      <c r="L2908" t="s">
        <v>10729</v>
      </c>
      <c r="M2908" t="s">
        <v>11027</v>
      </c>
    </row>
    <row r="2909" spans="1:13" x14ac:dyDescent="0.25">
      <c r="A2909">
        <v>6913609</v>
      </c>
      <c r="B2909" t="s">
        <v>11028</v>
      </c>
      <c r="C2909" t="str">
        <f>""</f>
        <v/>
      </c>
      <c r="D2909" t="str">
        <f>"9788021098343"</f>
        <v>9788021098343</v>
      </c>
      <c r="E2909" t="s">
        <v>10727</v>
      </c>
      <c r="F2909" s="1">
        <v>44013</v>
      </c>
      <c r="G2909" t="s">
        <v>11029</v>
      </c>
      <c r="H2909" t="s">
        <v>363</v>
      </c>
      <c r="L2909" t="s">
        <v>10729</v>
      </c>
      <c r="M2909" t="s">
        <v>11030</v>
      </c>
    </row>
    <row r="2910" spans="1:13" x14ac:dyDescent="0.25">
      <c r="A2910">
        <v>6913610</v>
      </c>
      <c r="B2910" t="s">
        <v>11031</v>
      </c>
      <c r="C2910" t="str">
        <f>""</f>
        <v/>
      </c>
      <c r="D2910" t="str">
        <f>"9788021098398"</f>
        <v>9788021098398</v>
      </c>
      <c r="E2910" t="s">
        <v>10727</v>
      </c>
      <c r="F2910" s="1">
        <v>44378</v>
      </c>
      <c r="G2910" t="s">
        <v>11032</v>
      </c>
      <c r="H2910" t="s">
        <v>363</v>
      </c>
      <c r="L2910" t="s">
        <v>10729</v>
      </c>
      <c r="M2910" t="s">
        <v>11033</v>
      </c>
    </row>
    <row r="2911" spans="1:13" x14ac:dyDescent="0.25">
      <c r="A2911">
        <v>6913611</v>
      </c>
      <c r="B2911" t="s">
        <v>11034</v>
      </c>
      <c r="C2911" t="str">
        <f>""</f>
        <v/>
      </c>
      <c r="D2911" t="str">
        <f>"9788021098404"</f>
        <v>9788021098404</v>
      </c>
      <c r="E2911" t="s">
        <v>10727</v>
      </c>
      <c r="F2911" s="1">
        <v>44378</v>
      </c>
      <c r="G2911" t="s">
        <v>11032</v>
      </c>
      <c r="H2911" t="s">
        <v>363</v>
      </c>
      <c r="L2911" t="s">
        <v>20</v>
      </c>
      <c r="M2911" t="s">
        <v>11035</v>
      </c>
    </row>
    <row r="2912" spans="1:13" x14ac:dyDescent="0.25">
      <c r="A2912">
        <v>6913612</v>
      </c>
      <c r="B2912" t="s">
        <v>11036</v>
      </c>
      <c r="C2912" t="str">
        <f>""</f>
        <v/>
      </c>
      <c r="D2912" t="str">
        <f>"9788021098411"</f>
        <v>9788021098411</v>
      </c>
      <c r="E2912" t="s">
        <v>10727</v>
      </c>
      <c r="F2912" s="1">
        <v>44013</v>
      </c>
      <c r="G2912" t="s">
        <v>10929</v>
      </c>
      <c r="H2912" t="s">
        <v>363</v>
      </c>
      <c r="L2912" t="s">
        <v>10729</v>
      </c>
      <c r="M2912" t="s">
        <v>11037</v>
      </c>
    </row>
    <row r="2913" spans="1:13" x14ac:dyDescent="0.25">
      <c r="A2913">
        <v>6913613</v>
      </c>
      <c r="B2913" t="s">
        <v>11038</v>
      </c>
      <c r="C2913" t="str">
        <f>""</f>
        <v/>
      </c>
      <c r="D2913" t="str">
        <f>"9788021098459"</f>
        <v>9788021098459</v>
      </c>
      <c r="E2913" t="s">
        <v>10727</v>
      </c>
      <c r="F2913" s="1">
        <v>44013</v>
      </c>
      <c r="G2913" t="s">
        <v>11039</v>
      </c>
      <c r="H2913" t="s">
        <v>363</v>
      </c>
      <c r="L2913" t="s">
        <v>10729</v>
      </c>
      <c r="M2913" t="s">
        <v>11040</v>
      </c>
    </row>
    <row r="2914" spans="1:13" x14ac:dyDescent="0.25">
      <c r="A2914">
        <v>6913614</v>
      </c>
      <c r="B2914" t="s">
        <v>11041</v>
      </c>
      <c r="C2914" t="str">
        <f>""</f>
        <v/>
      </c>
      <c r="D2914" t="str">
        <f>"9788021098558"</f>
        <v>9788021098558</v>
      </c>
      <c r="E2914" t="s">
        <v>10727</v>
      </c>
      <c r="F2914" s="1">
        <v>44013</v>
      </c>
      <c r="G2914" t="s">
        <v>11042</v>
      </c>
      <c r="H2914" t="s">
        <v>363</v>
      </c>
      <c r="L2914" t="s">
        <v>10729</v>
      </c>
      <c r="M2914" t="s">
        <v>11043</v>
      </c>
    </row>
    <row r="2915" spans="1:13" x14ac:dyDescent="0.25">
      <c r="A2915">
        <v>6913615</v>
      </c>
      <c r="B2915" t="s">
        <v>11044</v>
      </c>
      <c r="C2915" t="str">
        <f>"9788021098640"</f>
        <v>9788021098640</v>
      </c>
      <c r="D2915" t="str">
        <f>"9788021098657"</f>
        <v>9788021098657</v>
      </c>
      <c r="E2915" t="s">
        <v>10727</v>
      </c>
      <c r="F2915" s="1">
        <v>44378</v>
      </c>
      <c r="G2915" t="s">
        <v>11045</v>
      </c>
      <c r="H2915" t="s">
        <v>139</v>
      </c>
      <c r="L2915" t="s">
        <v>10729</v>
      </c>
      <c r="M2915" t="s">
        <v>11046</v>
      </c>
    </row>
    <row r="2916" spans="1:13" x14ac:dyDescent="0.25">
      <c r="A2916">
        <v>6913616</v>
      </c>
      <c r="B2916" t="s">
        <v>11047</v>
      </c>
      <c r="C2916" t="str">
        <f>""</f>
        <v/>
      </c>
      <c r="D2916" t="str">
        <f>"9788021098701"</f>
        <v>9788021098701</v>
      </c>
      <c r="E2916" t="s">
        <v>10727</v>
      </c>
      <c r="F2916" s="1">
        <v>44378</v>
      </c>
      <c r="G2916" t="s">
        <v>11048</v>
      </c>
      <c r="H2916" t="s">
        <v>11049</v>
      </c>
      <c r="L2916" t="s">
        <v>20</v>
      </c>
      <c r="M2916" t="s">
        <v>11050</v>
      </c>
    </row>
    <row r="2917" spans="1:13" x14ac:dyDescent="0.25">
      <c r="A2917">
        <v>6913617</v>
      </c>
      <c r="B2917" t="s">
        <v>11051</v>
      </c>
      <c r="C2917" t="str">
        <f>""</f>
        <v/>
      </c>
      <c r="D2917" t="str">
        <f>"9788021098824"</f>
        <v>9788021098824</v>
      </c>
      <c r="E2917" t="s">
        <v>10727</v>
      </c>
      <c r="F2917" s="1">
        <v>44378</v>
      </c>
      <c r="G2917" t="s">
        <v>11052</v>
      </c>
      <c r="H2917" t="s">
        <v>266</v>
      </c>
      <c r="L2917" t="s">
        <v>10729</v>
      </c>
      <c r="M2917" t="s">
        <v>11053</v>
      </c>
    </row>
    <row r="2918" spans="1:13" x14ac:dyDescent="0.25">
      <c r="A2918">
        <v>6913618</v>
      </c>
      <c r="B2918" t="s">
        <v>11054</v>
      </c>
      <c r="C2918" t="str">
        <f>""</f>
        <v/>
      </c>
      <c r="D2918" t="str">
        <f>"9788021098961"</f>
        <v>9788021098961</v>
      </c>
      <c r="E2918" t="s">
        <v>10727</v>
      </c>
      <c r="F2918" s="1">
        <v>44378</v>
      </c>
      <c r="G2918" t="s">
        <v>11055</v>
      </c>
      <c r="H2918" t="s">
        <v>11056</v>
      </c>
      <c r="L2918" t="s">
        <v>10729</v>
      </c>
      <c r="M2918" t="s">
        <v>11057</v>
      </c>
    </row>
    <row r="2919" spans="1:13" x14ac:dyDescent="0.25">
      <c r="A2919">
        <v>6913619</v>
      </c>
      <c r="B2919" t="s">
        <v>11058</v>
      </c>
      <c r="C2919" t="str">
        <f>""</f>
        <v/>
      </c>
      <c r="D2919" t="str">
        <f>"9788021099012"</f>
        <v>9788021099012</v>
      </c>
      <c r="E2919" t="s">
        <v>10727</v>
      </c>
      <c r="F2919" s="1">
        <v>44378</v>
      </c>
      <c r="G2919" t="s">
        <v>11059</v>
      </c>
      <c r="H2919" t="s">
        <v>363</v>
      </c>
      <c r="L2919" t="s">
        <v>20</v>
      </c>
      <c r="M2919" t="s">
        <v>11060</v>
      </c>
    </row>
    <row r="2920" spans="1:13" x14ac:dyDescent="0.25">
      <c r="A2920">
        <v>6913620</v>
      </c>
      <c r="B2920" t="s">
        <v>11061</v>
      </c>
      <c r="C2920" t="str">
        <f>"9788021099029"</f>
        <v>9788021099029</v>
      </c>
      <c r="D2920" t="str">
        <f>"9788021099036"</f>
        <v>9788021099036</v>
      </c>
      <c r="E2920" t="s">
        <v>10727</v>
      </c>
      <c r="F2920" s="1">
        <v>44378</v>
      </c>
      <c r="G2920" t="s">
        <v>11062</v>
      </c>
      <c r="H2920" t="s">
        <v>851</v>
      </c>
      <c r="L2920" t="s">
        <v>10729</v>
      </c>
      <c r="M2920" t="s">
        <v>11063</v>
      </c>
    </row>
    <row r="2921" spans="1:13" x14ac:dyDescent="0.25">
      <c r="A2921">
        <v>6913621</v>
      </c>
      <c r="B2921" t="s">
        <v>11064</v>
      </c>
      <c r="C2921" t="str">
        <f>""</f>
        <v/>
      </c>
      <c r="D2921" t="str">
        <f>"9788021099050"</f>
        <v>9788021099050</v>
      </c>
      <c r="E2921" t="s">
        <v>10727</v>
      </c>
      <c r="F2921" s="1">
        <v>44378</v>
      </c>
      <c r="G2921" t="s">
        <v>11065</v>
      </c>
      <c r="H2921" t="s">
        <v>1586</v>
      </c>
      <c r="L2921" t="s">
        <v>10729</v>
      </c>
      <c r="M2921" t="s">
        <v>11066</v>
      </c>
    </row>
    <row r="2922" spans="1:13" x14ac:dyDescent="0.25">
      <c r="A2922">
        <v>6913622</v>
      </c>
      <c r="B2922" t="s">
        <v>10832</v>
      </c>
      <c r="C2922" t="str">
        <f>""</f>
        <v/>
      </c>
      <c r="D2922" t="str">
        <f>"9788021099067"</f>
        <v>9788021099067</v>
      </c>
      <c r="E2922" t="s">
        <v>10727</v>
      </c>
      <c r="F2922" s="1">
        <v>44378</v>
      </c>
      <c r="G2922" t="s">
        <v>10833</v>
      </c>
      <c r="H2922" t="s">
        <v>30</v>
      </c>
      <c r="L2922" t="s">
        <v>20</v>
      </c>
      <c r="M2922" t="s">
        <v>11067</v>
      </c>
    </row>
    <row r="2923" spans="1:13" x14ac:dyDescent="0.25">
      <c r="A2923">
        <v>6913623</v>
      </c>
      <c r="B2923" t="s">
        <v>11068</v>
      </c>
      <c r="C2923" t="str">
        <f>"9788021099098"</f>
        <v>9788021099098</v>
      </c>
      <c r="D2923" t="str">
        <f>"9788021099104"</f>
        <v>9788021099104</v>
      </c>
      <c r="E2923" t="s">
        <v>10727</v>
      </c>
      <c r="F2923" s="1">
        <v>44378</v>
      </c>
      <c r="G2923" t="s">
        <v>11069</v>
      </c>
      <c r="H2923" t="s">
        <v>806</v>
      </c>
      <c r="L2923" t="s">
        <v>10729</v>
      </c>
      <c r="M2923" t="s">
        <v>11070</v>
      </c>
    </row>
    <row r="2924" spans="1:13" x14ac:dyDescent="0.25">
      <c r="A2924">
        <v>6913624</v>
      </c>
      <c r="B2924" t="s">
        <v>11071</v>
      </c>
      <c r="C2924" t="str">
        <f>""</f>
        <v/>
      </c>
      <c r="D2924" t="str">
        <f>"9788021099111"</f>
        <v>9788021099111</v>
      </c>
      <c r="E2924" t="s">
        <v>10727</v>
      </c>
      <c r="F2924" s="1">
        <v>44378</v>
      </c>
      <c r="G2924" t="s">
        <v>11072</v>
      </c>
      <c r="H2924" t="s">
        <v>11073</v>
      </c>
      <c r="L2924" t="s">
        <v>10729</v>
      </c>
      <c r="M2924" t="s">
        <v>11074</v>
      </c>
    </row>
    <row r="2925" spans="1:13" x14ac:dyDescent="0.25">
      <c r="A2925">
        <v>6913626</v>
      </c>
      <c r="B2925" t="s">
        <v>11075</v>
      </c>
      <c r="C2925" t="str">
        <f>"9788021099135"</f>
        <v>9788021099135</v>
      </c>
      <c r="D2925" t="str">
        <f>"9788021099142"</f>
        <v>9788021099142</v>
      </c>
      <c r="E2925" t="s">
        <v>10727</v>
      </c>
      <c r="F2925" s="1">
        <v>44378</v>
      </c>
      <c r="G2925" t="s">
        <v>11076</v>
      </c>
      <c r="H2925" t="s">
        <v>363</v>
      </c>
      <c r="L2925" t="s">
        <v>10729</v>
      </c>
      <c r="M2925" t="s">
        <v>11077</v>
      </c>
    </row>
    <row r="2926" spans="1:13" x14ac:dyDescent="0.25">
      <c r="A2926">
        <v>6913627</v>
      </c>
      <c r="B2926" t="s">
        <v>11078</v>
      </c>
      <c r="C2926" t="str">
        <f>""</f>
        <v/>
      </c>
      <c r="D2926" t="str">
        <f>"9788021099203"</f>
        <v>9788021099203</v>
      </c>
      <c r="E2926" t="s">
        <v>10727</v>
      </c>
      <c r="F2926" s="1">
        <v>44378</v>
      </c>
      <c r="G2926" t="s">
        <v>11079</v>
      </c>
      <c r="H2926" t="s">
        <v>64</v>
      </c>
      <c r="L2926" t="s">
        <v>10729</v>
      </c>
      <c r="M2926" t="s">
        <v>11080</v>
      </c>
    </row>
    <row r="2927" spans="1:13" x14ac:dyDescent="0.25">
      <c r="A2927">
        <v>6913628</v>
      </c>
      <c r="B2927" t="s">
        <v>11081</v>
      </c>
      <c r="C2927" t="str">
        <f>""</f>
        <v/>
      </c>
      <c r="D2927" t="str">
        <f>"9788021099272"</f>
        <v>9788021099272</v>
      </c>
      <c r="E2927" t="s">
        <v>10727</v>
      </c>
      <c r="F2927" s="1">
        <v>44378</v>
      </c>
      <c r="G2927" t="s">
        <v>11082</v>
      </c>
      <c r="H2927" t="s">
        <v>4461</v>
      </c>
      <c r="L2927" t="s">
        <v>10729</v>
      </c>
      <c r="M2927" t="s">
        <v>11083</v>
      </c>
    </row>
    <row r="2928" spans="1:13" x14ac:dyDescent="0.25">
      <c r="A2928">
        <v>6913629</v>
      </c>
      <c r="B2928" t="s">
        <v>11084</v>
      </c>
      <c r="C2928" t="str">
        <f>""</f>
        <v/>
      </c>
      <c r="D2928" t="str">
        <f>"9788021099302"</f>
        <v>9788021099302</v>
      </c>
      <c r="E2928" t="s">
        <v>10727</v>
      </c>
      <c r="F2928" s="1">
        <v>44013</v>
      </c>
      <c r="G2928" t="s">
        <v>11085</v>
      </c>
      <c r="H2928" t="s">
        <v>363</v>
      </c>
      <c r="L2928" t="s">
        <v>10729</v>
      </c>
      <c r="M2928" t="s">
        <v>11086</v>
      </c>
    </row>
    <row r="2929" spans="1:13" x14ac:dyDescent="0.25">
      <c r="A2929">
        <v>6913630</v>
      </c>
      <c r="B2929" t="s">
        <v>11087</v>
      </c>
      <c r="C2929" t="str">
        <f>"9788021099395"</f>
        <v>9788021099395</v>
      </c>
      <c r="D2929" t="str">
        <f>"9788021099401"</f>
        <v>9788021099401</v>
      </c>
      <c r="E2929" t="s">
        <v>10727</v>
      </c>
      <c r="F2929" s="1">
        <v>44378</v>
      </c>
      <c r="G2929" t="s">
        <v>11088</v>
      </c>
      <c r="H2929" t="s">
        <v>1753</v>
      </c>
      <c r="L2929" t="s">
        <v>10729</v>
      </c>
      <c r="M2929" t="s">
        <v>11089</v>
      </c>
    </row>
    <row r="2930" spans="1:13" x14ac:dyDescent="0.25">
      <c r="A2930">
        <v>6913631</v>
      </c>
      <c r="B2930" t="s">
        <v>11090</v>
      </c>
      <c r="C2930" t="str">
        <f>"9788021099562"</f>
        <v>9788021099562</v>
      </c>
      <c r="D2930" t="str">
        <f>"9788021099579"</f>
        <v>9788021099579</v>
      </c>
      <c r="E2930" t="s">
        <v>10727</v>
      </c>
      <c r="F2930" s="1">
        <v>44378</v>
      </c>
      <c r="G2930" t="s">
        <v>11091</v>
      </c>
      <c r="H2930" t="s">
        <v>363</v>
      </c>
      <c r="L2930" t="s">
        <v>10729</v>
      </c>
      <c r="M2930" t="s">
        <v>11092</v>
      </c>
    </row>
    <row r="2931" spans="1:13" x14ac:dyDescent="0.25">
      <c r="A2931">
        <v>6913632</v>
      </c>
      <c r="B2931" t="s">
        <v>11093</v>
      </c>
      <c r="C2931" t="str">
        <f>"9788021099739"</f>
        <v>9788021099739</v>
      </c>
      <c r="D2931" t="str">
        <f>"9788021099746"</f>
        <v>9788021099746</v>
      </c>
      <c r="E2931" t="s">
        <v>10727</v>
      </c>
      <c r="F2931" s="1">
        <v>44378</v>
      </c>
      <c r="G2931" t="s">
        <v>11094</v>
      </c>
      <c r="H2931" t="s">
        <v>363</v>
      </c>
      <c r="L2931" t="s">
        <v>10729</v>
      </c>
      <c r="M2931" t="s">
        <v>11095</v>
      </c>
    </row>
    <row r="2932" spans="1:13" x14ac:dyDescent="0.25">
      <c r="A2932">
        <v>6913633</v>
      </c>
      <c r="B2932" t="s">
        <v>11096</v>
      </c>
      <c r="C2932" t="str">
        <f>"9788021099821"</f>
        <v>9788021099821</v>
      </c>
      <c r="D2932" t="str">
        <f>"9788021099838"</f>
        <v>9788021099838</v>
      </c>
      <c r="E2932" t="s">
        <v>10727</v>
      </c>
      <c r="F2932" s="1">
        <v>44378</v>
      </c>
      <c r="G2932" t="s">
        <v>11097</v>
      </c>
      <c r="H2932" t="s">
        <v>1178</v>
      </c>
      <c r="L2932" t="s">
        <v>20</v>
      </c>
      <c r="M2932" t="s">
        <v>11098</v>
      </c>
    </row>
    <row r="2933" spans="1:13" x14ac:dyDescent="0.25">
      <c r="A2933">
        <v>6913634</v>
      </c>
      <c r="B2933" t="s">
        <v>11099</v>
      </c>
      <c r="C2933" t="str">
        <f>"9788021099913"</f>
        <v>9788021099913</v>
      </c>
      <c r="D2933" t="str">
        <f>"9788021099920"</f>
        <v>9788021099920</v>
      </c>
      <c r="E2933" t="s">
        <v>10727</v>
      </c>
      <c r="F2933" s="1">
        <v>44378</v>
      </c>
      <c r="G2933" t="s">
        <v>11100</v>
      </c>
      <c r="H2933" t="s">
        <v>64</v>
      </c>
      <c r="L2933" t="s">
        <v>20</v>
      </c>
      <c r="M2933" t="s">
        <v>11101</v>
      </c>
    </row>
    <row r="2934" spans="1:13" x14ac:dyDescent="0.25">
      <c r="A2934">
        <v>6913635</v>
      </c>
      <c r="B2934" t="s">
        <v>11102</v>
      </c>
      <c r="C2934" t="str">
        <f>"9788021099944"</f>
        <v>9788021099944</v>
      </c>
      <c r="D2934" t="str">
        <f>"9788021099951"</f>
        <v>9788021099951</v>
      </c>
      <c r="E2934" t="s">
        <v>10727</v>
      </c>
      <c r="F2934" s="1">
        <v>44378</v>
      </c>
      <c r="G2934" t="s">
        <v>11103</v>
      </c>
      <c r="H2934" t="s">
        <v>363</v>
      </c>
      <c r="L2934" t="s">
        <v>10729</v>
      </c>
      <c r="M2934" t="s">
        <v>11104</v>
      </c>
    </row>
    <row r="2935" spans="1:13" x14ac:dyDescent="0.25">
      <c r="A2935">
        <v>6913636</v>
      </c>
      <c r="B2935" t="s">
        <v>11105</v>
      </c>
      <c r="C2935" t="str">
        <f>""</f>
        <v/>
      </c>
      <c r="D2935" t="str">
        <f>"9788021099975"</f>
        <v>9788021099975</v>
      </c>
      <c r="E2935" t="s">
        <v>10727</v>
      </c>
      <c r="F2935" s="1">
        <v>44378</v>
      </c>
      <c r="G2935" t="s">
        <v>11106</v>
      </c>
      <c r="H2935" t="s">
        <v>70</v>
      </c>
      <c r="L2935" t="s">
        <v>20</v>
      </c>
      <c r="M2935" t="s">
        <v>11107</v>
      </c>
    </row>
    <row r="2936" spans="1:13" x14ac:dyDescent="0.25">
      <c r="A2936">
        <v>6913637</v>
      </c>
      <c r="B2936" t="s">
        <v>11108</v>
      </c>
      <c r="C2936" t="str">
        <f>""</f>
        <v/>
      </c>
      <c r="D2936" t="str">
        <f>"9788021099982"</f>
        <v>9788021099982</v>
      </c>
      <c r="E2936" t="s">
        <v>10727</v>
      </c>
      <c r="F2936" s="1">
        <v>44378</v>
      </c>
      <c r="G2936" t="s">
        <v>11109</v>
      </c>
      <c r="H2936" t="s">
        <v>4161</v>
      </c>
      <c r="L2936" t="s">
        <v>10729</v>
      </c>
      <c r="M2936" t="s">
        <v>11110</v>
      </c>
    </row>
    <row r="2937" spans="1:13" x14ac:dyDescent="0.25">
      <c r="A2937">
        <v>6913673</v>
      </c>
      <c r="B2937" t="s">
        <v>11111</v>
      </c>
      <c r="C2937" t="str">
        <f>"9789811680854"</f>
        <v>9789811680854</v>
      </c>
      <c r="D2937" t="str">
        <f>"9789811680861"</f>
        <v>9789811680861</v>
      </c>
      <c r="E2937" t="s">
        <v>4099</v>
      </c>
      <c r="F2937" s="1">
        <v>44626</v>
      </c>
      <c r="G2937" t="s">
        <v>10494</v>
      </c>
      <c r="H2937" t="s">
        <v>30</v>
      </c>
      <c r="I2937" t="s">
        <v>5112</v>
      </c>
      <c r="L2937" t="s">
        <v>20</v>
      </c>
      <c r="M2937" t="s">
        <v>11112</v>
      </c>
    </row>
    <row r="2938" spans="1:13" x14ac:dyDescent="0.25">
      <c r="A2938">
        <v>6913842</v>
      </c>
      <c r="B2938" t="s">
        <v>11113</v>
      </c>
      <c r="C2938" t="str">
        <f>""</f>
        <v/>
      </c>
      <c r="D2938" t="str">
        <f>"9781789061963"</f>
        <v>9781789061963</v>
      </c>
      <c r="E2938" t="s">
        <v>2237</v>
      </c>
      <c r="F2938" s="1">
        <v>44211</v>
      </c>
      <c r="G2938" t="s">
        <v>11114</v>
      </c>
      <c r="H2938" t="s">
        <v>11115</v>
      </c>
      <c r="L2938" t="s">
        <v>20</v>
      </c>
      <c r="M2938" t="s">
        <v>11116</v>
      </c>
    </row>
    <row r="2939" spans="1:13" x14ac:dyDescent="0.25">
      <c r="A2939">
        <v>6913843</v>
      </c>
      <c r="B2939" t="s">
        <v>11117</v>
      </c>
      <c r="C2939" t="str">
        <f>"9781789060751"</f>
        <v>9781789060751</v>
      </c>
      <c r="D2939" t="str">
        <f>"9781789060768"</f>
        <v>9781789060768</v>
      </c>
      <c r="E2939" t="s">
        <v>2237</v>
      </c>
      <c r="F2939" s="1">
        <v>44180</v>
      </c>
      <c r="G2939" t="s">
        <v>11118</v>
      </c>
      <c r="H2939" t="s">
        <v>2258</v>
      </c>
      <c r="J2939">
        <v>628.1</v>
      </c>
      <c r="L2939" t="s">
        <v>20</v>
      </c>
      <c r="M2939" t="s">
        <v>11119</v>
      </c>
    </row>
    <row r="2940" spans="1:13" x14ac:dyDescent="0.25">
      <c r="A2940">
        <v>6914946</v>
      </c>
      <c r="B2940" t="s">
        <v>11120</v>
      </c>
      <c r="C2940" t="str">
        <f>"9783030861858"</f>
        <v>9783030861858</v>
      </c>
      <c r="D2940" t="str">
        <f>"9783030861865"</f>
        <v>9783030861865</v>
      </c>
      <c r="E2940" t="s">
        <v>2905</v>
      </c>
      <c r="F2940" s="1">
        <v>44660</v>
      </c>
      <c r="G2940" t="s">
        <v>11121</v>
      </c>
      <c r="H2940" t="s">
        <v>1753</v>
      </c>
      <c r="I2940" t="s">
        <v>11122</v>
      </c>
      <c r="L2940" t="s">
        <v>20</v>
      </c>
      <c r="M2940" t="s">
        <v>11123</v>
      </c>
    </row>
    <row r="2941" spans="1:13" x14ac:dyDescent="0.25">
      <c r="A2941">
        <v>6914960</v>
      </c>
      <c r="B2941" t="s">
        <v>11124</v>
      </c>
      <c r="C2941" t="str">
        <f>"9783030919702"</f>
        <v>9783030919702</v>
      </c>
      <c r="D2941" t="str">
        <f>"9783030919719"</f>
        <v>9783030919719</v>
      </c>
      <c r="E2941" t="s">
        <v>2905</v>
      </c>
      <c r="F2941" s="1">
        <v>44690</v>
      </c>
      <c r="G2941" t="s">
        <v>11125</v>
      </c>
      <c r="H2941" t="s">
        <v>1707</v>
      </c>
      <c r="I2941" t="s">
        <v>6095</v>
      </c>
      <c r="L2941" t="s">
        <v>20</v>
      </c>
      <c r="M2941" t="s">
        <v>11126</v>
      </c>
    </row>
    <row r="2942" spans="1:13" x14ac:dyDescent="0.25">
      <c r="A2942">
        <v>6915684</v>
      </c>
      <c r="B2942" t="s">
        <v>11127</v>
      </c>
      <c r="C2942" t="str">
        <f>""</f>
        <v/>
      </c>
      <c r="D2942" t="str">
        <f>"9782759233113"</f>
        <v>9782759233113</v>
      </c>
      <c r="E2942" t="s">
        <v>2434</v>
      </c>
      <c r="F2942" s="1">
        <v>44630</v>
      </c>
      <c r="G2942" t="s">
        <v>11128</v>
      </c>
      <c r="H2942" t="s">
        <v>8883</v>
      </c>
      <c r="L2942" t="s">
        <v>1279</v>
      </c>
      <c r="M2942" t="s">
        <v>11129</v>
      </c>
    </row>
    <row r="2943" spans="1:13" x14ac:dyDescent="0.25">
      <c r="A2943">
        <v>6915747</v>
      </c>
      <c r="B2943" t="s">
        <v>11130</v>
      </c>
      <c r="C2943" t="str">
        <f>"9783030860233"</f>
        <v>9783030860233</v>
      </c>
      <c r="D2943" t="str">
        <f>"9783030860240"</f>
        <v>9783030860240</v>
      </c>
      <c r="E2943" t="s">
        <v>2905</v>
      </c>
      <c r="F2943" s="1">
        <v>44629</v>
      </c>
      <c r="G2943" t="s">
        <v>11121</v>
      </c>
      <c r="H2943" t="s">
        <v>1753</v>
      </c>
      <c r="I2943" t="s">
        <v>11122</v>
      </c>
      <c r="L2943" t="s">
        <v>20</v>
      </c>
      <c r="M2943" t="s">
        <v>11131</v>
      </c>
    </row>
    <row r="2944" spans="1:13" x14ac:dyDescent="0.25">
      <c r="A2944">
        <v>6915748</v>
      </c>
      <c r="B2944" t="s">
        <v>11132</v>
      </c>
      <c r="C2944" t="str">
        <f>"9783658367039"</f>
        <v>9783658367039</v>
      </c>
      <c r="D2944" t="str">
        <f>"9783658367046"</f>
        <v>9783658367046</v>
      </c>
      <c r="E2944" t="s">
        <v>4472</v>
      </c>
      <c r="F2944" s="1">
        <v>44629</v>
      </c>
      <c r="G2944" t="s">
        <v>11133</v>
      </c>
      <c r="H2944" t="s">
        <v>16</v>
      </c>
      <c r="I2944" t="s">
        <v>6132</v>
      </c>
      <c r="L2944" t="s">
        <v>291</v>
      </c>
      <c r="M2944" t="s">
        <v>11134</v>
      </c>
    </row>
    <row r="2945" spans="1:13" x14ac:dyDescent="0.25">
      <c r="A2945">
        <v>6916284</v>
      </c>
      <c r="B2945" t="s">
        <v>11135</v>
      </c>
      <c r="C2945" t="str">
        <f>""</f>
        <v/>
      </c>
      <c r="D2945" t="str">
        <f>"9781800100473"</f>
        <v>9781800100473</v>
      </c>
      <c r="E2945" t="s">
        <v>11136</v>
      </c>
      <c r="F2945" s="1">
        <v>44119</v>
      </c>
      <c r="G2945" t="s">
        <v>11137</v>
      </c>
      <c r="H2945" t="s">
        <v>266</v>
      </c>
      <c r="L2945" t="s">
        <v>20</v>
      </c>
      <c r="M2945" t="s">
        <v>11138</v>
      </c>
    </row>
    <row r="2946" spans="1:13" x14ac:dyDescent="0.25">
      <c r="A2946">
        <v>6916285</v>
      </c>
      <c r="B2946" t="s">
        <v>11139</v>
      </c>
      <c r="C2946" t="str">
        <f>""</f>
        <v/>
      </c>
      <c r="D2946" t="str">
        <f>"9781800101050"</f>
        <v>9781800101050</v>
      </c>
      <c r="E2946" t="s">
        <v>11136</v>
      </c>
      <c r="F2946" s="1">
        <v>44064</v>
      </c>
      <c r="G2946" t="s">
        <v>11140</v>
      </c>
      <c r="H2946" t="s">
        <v>4161</v>
      </c>
      <c r="L2946" t="s">
        <v>20</v>
      </c>
      <c r="M2946" t="s">
        <v>11141</v>
      </c>
    </row>
    <row r="2947" spans="1:13" x14ac:dyDescent="0.25">
      <c r="A2947">
        <v>6916340</v>
      </c>
      <c r="B2947" t="s">
        <v>11142</v>
      </c>
      <c r="C2947" t="str">
        <f>"9783030827663"</f>
        <v>9783030827663</v>
      </c>
      <c r="D2947" t="str">
        <f>"9783030827670"</f>
        <v>9783030827670</v>
      </c>
      <c r="E2947" t="s">
        <v>2905</v>
      </c>
      <c r="F2947" s="1">
        <v>44630</v>
      </c>
      <c r="G2947" t="s">
        <v>11143</v>
      </c>
      <c r="H2947" t="s">
        <v>11144</v>
      </c>
      <c r="I2947" t="s">
        <v>11145</v>
      </c>
      <c r="J2947">
        <v>794.8</v>
      </c>
      <c r="L2947" t="s">
        <v>20</v>
      </c>
      <c r="M2947" t="s">
        <v>11146</v>
      </c>
    </row>
    <row r="2948" spans="1:13" x14ac:dyDescent="0.25">
      <c r="A2948">
        <v>6916353</v>
      </c>
      <c r="B2948" t="s">
        <v>11147</v>
      </c>
      <c r="C2948" t="str">
        <f>"9783030920913"</f>
        <v>9783030920913</v>
      </c>
      <c r="D2948" t="str">
        <f>"9783030920920"</f>
        <v>9783030920920</v>
      </c>
      <c r="E2948" t="s">
        <v>2905</v>
      </c>
      <c r="F2948" s="1">
        <v>44661</v>
      </c>
      <c r="G2948" t="s">
        <v>11148</v>
      </c>
      <c r="H2948" t="s">
        <v>30</v>
      </c>
      <c r="I2948" t="s">
        <v>4676</v>
      </c>
      <c r="L2948" t="s">
        <v>20</v>
      </c>
      <c r="M2948" t="s">
        <v>11149</v>
      </c>
    </row>
    <row r="2949" spans="1:13" x14ac:dyDescent="0.25">
      <c r="A2949">
        <v>6921720</v>
      </c>
      <c r="B2949" t="s">
        <v>11150</v>
      </c>
      <c r="C2949" t="str">
        <f>"9783030932084"</f>
        <v>9783030932084</v>
      </c>
      <c r="D2949" t="str">
        <f>"9783030932091"</f>
        <v>9783030932091</v>
      </c>
      <c r="E2949" t="s">
        <v>2905</v>
      </c>
      <c r="F2949" s="1">
        <v>44651</v>
      </c>
      <c r="G2949" t="s">
        <v>11151</v>
      </c>
      <c r="H2949" t="s">
        <v>64</v>
      </c>
      <c r="I2949" t="s">
        <v>5286</v>
      </c>
      <c r="J2949">
        <v>305</v>
      </c>
      <c r="L2949" t="s">
        <v>20</v>
      </c>
      <c r="M2949" t="s">
        <v>11152</v>
      </c>
    </row>
    <row r="2950" spans="1:13" x14ac:dyDescent="0.25">
      <c r="A2950">
        <v>6921798</v>
      </c>
      <c r="B2950" t="s">
        <v>11153</v>
      </c>
      <c r="C2950" t="str">
        <f>"9783658344900"</f>
        <v>9783658344900</v>
      </c>
      <c r="D2950" t="str">
        <f>"9783658344917"</f>
        <v>9783658344917</v>
      </c>
      <c r="E2950" t="s">
        <v>4472</v>
      </c>
      <c r="F2950" s="1">
        <v>44680</v>
      </c>
      <c r="G2950" t="s">
        <v>11154</v>
      </c>
      <c r="H2950" t="s">
        <v>64</v>
      </c>
      <c r="I2950" t="s">
        <v>5120</v>
      </c>
      <c r="L2950" t="s">
        <v>291</v>
      </c>
      <c r="M2950" t="s">
        <v>11155</v>
      </c>
    </row>
    <row r="2951" spans="1:13" x14ac:dyDescent="0.25">
      <c r="A2951">
        <v>6921832</v>
      </c>
      <c r="B2951" t="s">
        <v>11156</v>
      </c>
      <c r="C2951" t="str">
        <f>"9783030944957"</f>
        <v>9783030944957</v>
      </c>
      <c r="D2951" t="str">
        <f>"9783030944964"</f>
        <v>9783030944964</v>
      </c>
      <c r="E2951" t="s">
        <v>2905</v>
      </c>
      <c r="F2951" s="1">
        <v>44676</v>
      </c>
      <c r="G2951" t="s">
        <v>11157</v>
      </c>
      <c r="H2951" t="s">
        <v>363</v>
      </c>
      <c r="I2951" t="s">
        <v>4529</v>
      </c>
      <c r="L2951" t="s">
        <v>20</v>
      </c>
      <c r="M2951" t="s">
        <v>11158</v>
      </c>
    </row>
    <row r="2952" spans="1:13" x14ac:dyDescent="0.25">
      <c r="A2952">
        <v>6925883</v>
      </c>
      <c r="B2952" t="s">
        <v>11159</v>
      </c>
      <c r="C2952" t="str">
        <f>"9783658371029"</f>
        <v>9783658371029</v>
      </c>
      <c r="D2952" t="str">
        <f>"9783658371036"</f>
        <v>9783658371036</v>
      </c>
      <c r="E2952" t="s">
        <v>4472</v>
      </c>
      <c r="F2952" s="1">
        <v>44678</v>
      </c>
      <c r="G2952" t="s">
        <v>11160</v>
      </c>
      <c r="H2952" t="s">
        <v>1753</v>
      </c>
      <c r="I2952" t="s">
        <v>10167</v>
      </c>
      <c r="L2952" t="s">
        <v>20</v>
      </c>
      <c r="M2952" t="s">
        <v>11161</v>
      </c>
    </row>
    <row r="2953" spans="1:13" x14ac:dyDescent="0.25">
      <c r="A2953">
        <v>6925889</v>
      </c>
      <c r="B2953" t="s">
        <v>11162</v>
      </c>
      <c r="C2953" t="str">
        <f>"9789811907623"</f>
        <v>9789811907623</v>
      </c>
      <c r="D2953" t="str">
        <f>"9789811907630"</f>
        <v>9789811907630</v>
      </c>
      <c r="E2953" t="s">
        <v>4099</v>
      </c>
      <c r="F2953" s="1">
        <v>44635</v>
      </c>
      <c r="G2953" t="s">
        <v>11163</v>
      </c>
      <c r="H2953" t="s">
        <v>1283</v>
      </c>
      <c r="I2953" t="s">
        <v>5683</v>
      </c>
      <c r="L2953" t="s">
        <v>20</v>
      </c>
      <c r="M2953" t="s">
        <v>11164</v>
      </c>
    </row>
    <row r="2954" spans="1:13" x14ac:dyDescent="0.25">
      <c r="A2954">
        <v>6925890</v>
      </c>
      <c r="B2954" t="s">
        <v>11165</v>
      </c>
      <c r="C2954" t="str">
        <f>"9783030858162"</f>
        <v>9783030858162</v>
      </c>
      <c r="D2954" t="str">
        <f>"9783030858179"</f>
        <v>9783030858179</v>
      </c>
      <c r="E2954" t="s">
        <v>2905</v>
      </c>
      <c r="F2954" s="1">
        <v>44653</v>
      </c>
      <c r="G2954" t="s">
        <v>6825</v>
      </c>
      <c r="H2954" t="s">
        <v>239</v>
      </c>
      <c r="I2954" t="s">
        <v>5800</v>
      </c>
      <c r="L2954" t="s">
        <v>20</v>
      </c>
      <c r="M2954" t="s">
        <v>11166</v>
      </c>
    </row>
    <row r="2955" spans="1:13" x14ac:dyDescent="0.25">
      <c r="A2955">
        <v>6927289</v>
      </c>
      <c r="B2955" t="s">
        <v>11167</v>
      </c>
      <c r="C2955" t="str">
        <f>"9783030921392"</f>
        <v>9783030921392</v>
      </c>
      <c r="D2955" t="str">
        <f>"9783030921408"</f>
        <v>9783030921408</v>
      </c>
      <c r="E2955" t="s">
        <v>2905</v>
      </c>
      <c r="F2955" s="1">
        <v>44676</v>
      </c>
      <c r="G2955" t="s">
        <v>11168</v>
      </c>
      <c r="H2955" t="s">
        <v>288</v>
      </c>
      <c r="I2955" t="s">
        <v>6993</v>
      </c>
      <c r="J2955">
        <v>204.2</v>
      </c>
      <c r="L2955" t="s">
        <v>20</v>
      </c>
      <c r="M2955" t="s">
        <v>11169</v>
      </c>
    </row>
    <row r="2956" spans="1:13" x14ac:dyDescent="0.25">
      <c r="A2956">
        <v>6927300</v>
      </c>
      <c r="B2956" t="s">
        <v>11170</v>
      </c>
      <c r="C2956" t="str">
        <f>"9789811679445"</f>
        <v>9789811679445</v>
      </c>
      <c r="D2956" t="str">
        <f>"9789811679452"</f>
        <v>9789811679452</v>
      </c>
      <c r="E2956" t="s">
        <v>4099</v>
      </c>
      <c r="F2956" s="1">
        <v>44636</v>
      </c>
      <c r="G2956" t="s">
        <v>11171</v>
      </c>
      <c r="H2956" t="s">
        <v>266</v>
      </c>
      <c r="I2956" t="s">
        <v>5672</v>
      </c>
      <c r="L2956" t="s">
        <v>20</v>
      </c>
      <c r="M2956" t="s">
        <v>11172</v>
      </c>
    </row>
    <row r="2957" spans="1:13" x14ac:dyDescent="0.25">
      <c r="A2957">
        <v>6927304</v>
      </c>
      <c r="B2957" t="s">
        <v>11173</v>
      </c>
      <c r="C2957" t="str">
        <f>"9783030949716"</f>
        <v>9783030949716</v>
      </c>
      <c r="D2957" t="str">
        <f>"9783030949723"</f>
        <v>9783030949723</v>
      </c>
      <c r="E2957" t="s">
        <v>2905</v>
      </c>
      <c r="F2957" s="1">
        <v>44668</v>
      </c>
      <c r="G2957" t="s">
        <v>11174</v>
      </c>
      <c r="H2957" t="s">
        <v>30</v>
      </c>
      <c r="I2957" t="s">
        <v>4676</v>
      </c>
      <c r="L2957" t="s">
        <v>20</v>
      </c>
      <c r="M2957" t="s">
        <v>11175</v>
      </c>
    </row>
    <row r="2958" spans="1:13" x14ac:dyDescent="0.25">
      <c r="A2958">
        <v>6927308</v>
      </c>
      <c r="B2958" t="s">
        <v>11176</v>
      </c>
      <c r="C2958" t="str">
        <f>"9783662640838"</f>
        <v>9783662640838</v>
      </c>
      <c r="D2958" t="str">
        <f>"9783662640845"</f>
        <v>9783662640845</v>
      </c>
      <c r="E2958" t="s">
        <v>5860</v>
      </c>
      <c r="F2958" s="1">
        <v>44668</v>
      </c>
      <c r="G2958" t="s">
        <v>11177</v>
      </c>
      <c r="H2958" t="s">
        <v>64</v>
      </c>
      <c r="I2958" t="s">
        <v>5286</v>
      </c>
      <c r="L2958" t="s">
        <v>291</v>
      </c>
      <c r="M2958" t="s">
        <v>11178</v>
      </c>
    </row>
    <row r="2959" spans="1:13" x14ac:dyDescent="0.25">
      <c r="A2959">
        <v>6927309</v>
      </c>
      <c r="B2959" t="s">
        <v>11179</v>
      </c>
      <c r="C2959" t="str">
        <f>"9789811697968"</f>
        <v>9789811697968</v>
      </c>
      <c r="D2959" t="str">
        <f>"9789811697975"</f>
        <v>9789811697975</v>
      </c>
      <c r="E2959" t="s">
        <v>4099</v>
      </c>
      <c r="F2959" s="1">
        <v>44668</v>
      </c>
      <c r="G2959" t="s">
        <v>11180</v>
      </c>
      <c r="H2959" t="s">
        <v>1753</v>
      </c>
      <c r="I2959" t="s">
        <v>8441</v>
      </c>
      <c r="L2959" t="s">
        <v>20</v>
      </c>
      <c r="M2959" t="s">
        <v>11181</v>
      </c>
    </row>
    <row r="2960" spans="1:13" x14ac:dyDescent="0.25">
      <c r="A2960">
        <v>6935556</v>
      </c>
      <c r="B2960" t="s">
        <v>11182</v>
      </c>
      <c r="C2960" t="str">
        <f>"9783658361921"</f>
        <v>9783658361921</v>
      </c>
      <c r="D2960" t="str">
        <f>"9783658361938"</f>
        <v>9783658361938</v>
      </c>
      <c r="E2960" t="s">
        <v>4472</v>
      </c>
      <c r="F2960" s="1">
        <v>44643</v>
      </c>
      <c r="G2960" t="s">
        <v>11183</v>
      </c>
      <c r="H2960" t="s">
        <v>363</v>
      </c>
      <c r="I2960" t="s">
        <v>6211</v>
      </c>
      <c r="L2960" t="s">
        <v>291</v>
      </c>
      <c r="M2960" t="s">
        <v>11184</v>
      </c>
    </row>
    <row r="2961" spans="1:13" x14ac:dyDescent="0.25">
      <c r="A2961">
        <v>6938742</v>
      </c>
      <c r="B2961" t="s">
        <v>11185</v>
      </c>
      <c r="C2961" t="str">
        <f>"9783030985806"</f>
        <v>9783030985806</v>
      </c>
      <c r="D2961" t="str">
        <f>"9783030985813"</f>
        <v>9783030985813</v>
      </c>
      <c r="E2961" t="s">
        <v>2905</v>
      </c>
      <c r="F2961" s="1">
        <v>44675</v>
      </c>
      <c r="G2961" t="s">
        <v>11186</v>
      </c>
      <c r="H2961" t="s">
        <v>712</v>
      </c>
      <c r="I2961" t="s">
        <v>8136</v>
      </c>
      <c r="L2961" t="s">
        <v>20</v>
      </c>
      <c r="M2961" t="s">
        <v>11187</v>
      </c>
    </row>
    <row r="2962" spans="1:13" x14ac:dyDescent="0.25">
      <c r="A2962">
        <v>6938761</v>
      </c>
      <c r="B2962" t="s">
        <v>11188</v>
      </c>
      <c r="C2962" t="str">
        <f>"9783030892883"</f>
        <v>9783030892883</v>
      </c>
      <c r="D2962" t="str">
        <f>"9783030892890"</f>
        <v>9783030892890</v>
      </c>
      <c r="E2962" t="s">
        <v>2905</v>
      </c>
      <c r="F2962" s="1">
        <v>44675</v>
      </c>
      <c r="G2962" t="s">
        <v>11189</v>
      </c>
      <c r="H2962" t="s">
        <v>2597</v>
      </c>
      <c r="I2962" t="s">
        <v>11190</v>
      </c>
      <c r="L2962" t="s">
        <v>20</v>
      </c>
      <c r="M2962" t="s">
        <v>11191</v>
      </c>
    </row>
    <row r="2963" spans="1:13" x14ac:dyDescent="0.25">
      <c r="A2963">
        <v>6938770</v>
      </c>
      <c r="B2963" t="s">
        <v>11192</v>
      </c>
      <c r="C2963" t="str">
        <f>"9789811902796"</f>
        <v>9789811902796</v>
      </c>
      <c r="D2963" t="str">
        <f>"9789811902802"</f>
        <v>9789811902802</v>
      </c>
      <c r="E2963" t="s">
        <v>4099</v>
      </c>
      <c r="F2963" s="1">
        <v>44643</v>
      </c>
      <c r="G2963" t="s">
        <v>11193</v>
      </c>
      <c r="H2963" t="s">
        <v>1753</v>
      </c>
      <c r="I2963" t="s">
        <v>4588</v>
      </c>
      <c r="L2963" t="s">
        <v>20</v>
      </c>
      <c r="M2963" t="s">
        <v>11194</v>
      </c>
    </row>
    <row r="2964" spans="1:13" x14ac:dyDescent="0.25">
      <c r="A2964">
        <v>6939387</v>
      </c>
      <c r="B2964" t="s">
        <v>11195</v>
      </c>
      <c r="C2964" t="str">
        <f>"9783030925765"</f>
        <v>9783030925765</v>
      </c>
      <c r="D2964" t="str">
        <f>"9783030925772"</f>
        <v>9783030925772</v>
      </c>
      <c r="E2964" t="s">
        <v>2905</v>
      </c>
      <c r="F2964" s="1">
        <v>44679</v>
      </c>
      <c r="G2964" t="s">
        <v>11196</v>
      </c>
      <c r="H2964" t="s">
        <v>30</v>
      </c>
      <c r="I2964" t="s">
        <v>5559</v>
      </c>
      <c r="J2964">
        <v>327.17</v>
      </c>
      <c r="L2964" t="s">
        <v>20</v>
      </c>
      <c r="M2964" t="s">
        <v>11197</v>
      </c>
    </row>
    <row r="2965" spans="1:13" x14ac:dyDescent="0.25">
      <c r="A2965">
        <v>6939908</v>
      </c>
      <c r="B2965" t="s">
        <v>11198</v>
      </c>
      <c r="C2965" t="str">
        <f>"9781607329473"</f>
        <v>9781607329473</v>
      </c>
      <c r="D2965" t="str">
        <f>"9781607329558"</f>
        <v>9781607329558</v>
      </c>
      <c r="E2965" t="s">
        <v>10510</v>
      </c>
      <c r="F2965" s="1">
        <v>43784</v>
      </c>
      <c r="G2965" t="s">
        <v>11199</v>
      </c>
      <c r="H2965" t="s">
        <v>126</v>
      </c>
      <c r="I2965" t="s">
        <v>11200</v>
      </c>
      <c r="J2965">
        <v>302.30284999999998</v>
      </c>
      <c r="K2965" t="s">
        <v>11201</v>
      </c>
      <c r="L2965" t="s">
        <v>20</v>
      </c>
      <c r="M2965" t="s">
        <v>11202</v>
      </c>
    </row>
    <row r="2966" spans="1:13" x14ac:dyDescent="0.25">
      <c r="A2966">
        <v>6939946</v>
      </c>
      <c r="B2966" t="s">
        <v>11203</v>
      </c>
      <c r="C2966" t="str">
        <f>""</f>
        <v/>
      </c>
      <c r="D2966" t="str">
        <f>"9788366675391"</f>
        <v>9788366675391</v>
      </c>
      <c r="E2966" t="s">
        <v>350</v>
      </c>
      <c r="F2966" s="1">
        <v>44382</v>
      </c>
      <c r="G2966" t="s">
        <v>11204</v>
      </c>
      <c r="H2966" t="s">
        <v>169</v>
      </c>
      <c r="L2966" t="s">
        <v>20</v>
      </c>
      <c r="M2966" t="s">
        <v>11205</v>
      </c>
    </row>
    <row r="2967" spans="1:13" x14ac:dyDescent="0.25">
      <c r="A2967">
        <v>6940021</v>
      </c>
      <c r="B2967" t="s">
        <v>11206</v>
      </c>
      <c r="C2967" t="str">
        <f>"9783658367534"</f>
        <v>9783658367534</v>
      </c>
      <c r="D2967" t="str">
        <f>"9783658367541"</f>
        <v>9783658367541</v>
      </c>
      <c r="E2967" t="s">
        <v>4472</v>
      </c>
      <c r="F2967" s="1">
        <v>44685</v>
      </c>
      <c r="G2967" t="s">
        <v>11207</v>
      </c>
      <c r="H2967" t="s">
        <v>30</v>
      </c>
      <c r="I2967" t="s">
        <v>5532</v>
      </c>
      <c r="L2967" t="s">
        <v>291</v>
      </c>
      <c r="M2967" t="s">
        <v>11208</v>
      </c>
    </row>
    <row r="2968" spans="1:13" x14ac:dyDescent="0.25">
      <c r="A2968">
        <v>6940133</v>
      </c>
      <c r="B2968" t="s">
        <v>11209</v>
      </c>
      <c r="C2968" t="str">
        <f>"9783658368265"</f>
        <v>9783658368265</v>
      </c>
      <c r="D2968" t="str">
        <f>"9783658368272"</f>
        <v>9783658368272</v>
      </c>
      <c r="E2968" t="s">
        <v>4472</v>
      </c>
      <c r="F2968" s="1">
        <v>44649</v>
      </c>
      <c r="G2968" t="s">
        <v>11210</v>
      </c>
      <c r="H2968" t="s">
        <v>363</v>
      </c>
      <c r="I2968" t="s">
        <v>8869</v>
      </c>
      <c r="L2968" t="s">
        <v>291</v>
      </c>
      <c r="M2968" t="s">
        <v>11211</v>
      </c>
    </row>
    <row r="2969" spans="1:13" x14ac:dyDescent="0.25">
      <c r="A2969">
        <v>6940169</v>
      </c>
      <c r="B2969" t="s">
        <v>11212</v>
      </c>
      <c r="C2969" t="str">
        <f>""</f>
        <v/>
      </c>
      <c r="D2969" t="str">
        <f>"9781644698846"</f>
        <v>9781644698846</v>
      </c>
      <c r="E2969" t="s">
        <v>2224</v>
      </c>
      <c r="F2969" s="1">
        <v>44656</v>
      </c>
      <c r="G2969" t="s">
        <v>11213</v>
      </c>
      <c r="H2969" t="s">
        <v>1551</v>
      </c>
      <c r="L2969" t="s">
        <v>20</v>
      </c>
      <c r="M2969" t="s">
        <v>11214</v>
      </c>
    </row>
    <row r="2970" spans="1:13" x14ac:dyDescent="0.25">
      <c r="A2970">
        <v>6940459</v>
      </c>
      <c r="B2970" t="s">
        <v>11215</v>
      </c>
      <c r="C2970" t="str">
        <f>"9783030806453"</f>
        <v>9783030806453</v>
      </c>
      <c r="D2970" t="str">
        <f>"9783030806460"</f>
        <v>9783030806460</v>
      </c>
      <c r="E2970" t="s">
        <v>2905</v>
      </c>
      <c r="F2970" s="1">
        <v>44665</v>
      </c>
      <c r="G2970" t="s">
        <v>11216</v>
      </c>
      <c r="H2970" t="s">
        <v>6358</v>
      </c>
      <c r="I2970" t="s">
        <v>5396</v>
      </c>
      <c r="J2970">
        <v>69.53</v>
      </c>
      <c r="L2970" t="s">
        <v>20</v>
      </c>
      <c r="M2970" t="s">
        <v>11217</v>
      </c>
    </row>
    <row r="2971" spans="1:13" x14ac:dyDescent="0.25">
      <c r="A2971">
        <v>6941355</v>
      </c>
      <c r="B2971" t="s">
        <v>11218</v>
      </c>
      <c r="C2971" t="str">
        <f>"9783030994280"</f>
        <v>9783030994280</v>
      </c>
      <c r="D2971" t="str">
        <f>"9783030994297"</f>
        <v>9783030994297</v>
      </c>
      <c r="E2971" t="s">
        <v>2905</v>
      </c>
      <c r="F2971" s="1">
        <v>44686</v>
      </c>
      <c r="G2971" t="s">
        <v>11219</v>
      </c>
      <c r="H2971" t="s">
        <v>712</v>
      </c>
      <c r="I2971" t="s">
        <v>4774</v>
      </c>
      <c r="L2971" t="s">
        <v>20</v>
      </c>
      <c r="M2971" t="s">
        <v>11220</v>
      </c>
    </row>
    <row r="2972" spans="1:13" x14ac:dyDescent="0.25">
      <c r="A2972">
        <v>6941372</v>
      </c>
      <c r="B2972" t="s">
        <v>11221</v>
      </c>
      <c r="C2972" t="str">
        <f>"9783030993351"</f>
        <v>9783030993351</v>
      </c>
      <c r="D2972" t="str">
        <f>"9783030993368"</f>
        <v>9783030993368</v>
      </c>
      <c r="E2972" t="s">
        <v>2905</v>
      </c>
      <c r="F2972" s="1">
        <v>44683</v>
      </c>
      <c r="G2972" t="s">
        <v>11222</v>
      </c>
      <c r="H2972" t="s">
        <v>712</v>
      </c>
      <c r="I2972" t="s">
        <v>5038</v>
      </c>
      <c r="L2972" t="s">
        <v>20</v>
      </c>
      <c r="M2972" t="s">
        <v>11223</v>
      </c>
    </row>
    <row r="2973" spans="1:13" x14ac:dyDescent="0.25">
      <c r="A2973">
        <v>6942704</v>
      </c>
      <c r="B2973" t="s">
        <v>11224</v>
      </c>
      <c r="C2973" t="str">
        <f>"9783030992521"</f>
        <v>9783030992521</v>
      </c>
      <c r="D2973" t="str">
        <f>"9783030992538"</f>
        <v>9783030992538</v>
      </c>
      <c r="E2973" t="s">
        <v>2905</v>
      </c>
      <c r="F2973" s="1">
        <v>44681</v>
      </c>
      <c r="G2973" t="s">
        <v>11225</v>
      </c>
      <c r="H2973" t="s">
        <v>712</v>
      </c>
      <c r="I2973" t="s">
        <v>4553</v>
      </c>
      <c r="L2973" t="s">
        <v>20</v>
      </c>
      <c r="M2973" t="s">
        <v>11226</v>
      </c>
    </row>
    <row r="2974" spans="1:13" x14ac:dyDescent="0.25">
      <c r="A2974">
        <v>6942717</v>
      </c>
      <c r="B2974" t="s">
        <v>11227</v>
      </c>
      <c r="C2974" t="str">
        <f>"9783030995232"</f>
        <v>9783030995232</v>
      </c>
      <c r="D2974" t="str">
        <f>"9783030995249"</f>
        <v>9783030995249</v>
      </c>
      <c r="E2974" t="s">
        <v>2905</v>
      </c>
      <c r="F2974" s="1">
        <v>44686</v>
      </c>
      <c r="G2974" t="s">
        <v>11228</v>
      </c>
      <c r="H2974" t="s">
        <v>712</v>
      </c>
      <c r="I2974" t="s">
        <v>4553</v>
      </c>
      <c r="L2974" t="s">
        <v>20</v>
      </c>
      <c r="M2974" t="s">
        <v>11229</v>
      </c>
    </row>
    <row r="2975" spans="1:13" x14ac:dyDescent="0.25">
      <c r="A2975">
        <v>6942718</v>
      </c>
      <c r="B2975" t="s">
        <v>11230</v>
      </c>
      <c r="C2975" t="str">
        <f>"9783030926113"</f>
        <v>9783030926113</v>
      </c>
      <c r="D2975" t="str">
        <f>"9783030926120"</f>
        <v>9783030926120</v>
      </c>
      <c r="E2975" t="s">
        <v>2905</v>
      </c>
      <c r="F2975" s="1">
        <v>44683</v>
      </c>
      <c r="G2975" t="s">
        <v>11231</v>
      </c>
      <c r="H2975" t="s">
        <v>266</v>
      </c>
      <c r="I2975" t="s">
        <v>11232</v>
      </c>
      <c r="L2975" t="s">
        <v>20</v>
      </c>
      <c r="M2975" t="s">
        <v>11233</v>
      </c>
    </row>
    <row r="2976" spans="1:13" x14ac:dyDescent="0.25">
      <c r="A2976">
        <v>6942731</v>
      </c>
      <c r="B2976" t="s">
        <v>11234</v>
      </c>
      <c r="C2976" t="str">
        <f>"9783030995263"</f>
        <v>9783030995263</v>
      </c>
      <c r="D2976" t="str">
        <f>"9783030995270"</f>
        <v>9783030995270</v>
      </c>
      <c r="E2976" t="s">
        <v>2905</v>
      </c>
      <c r="F2976" s="1">
        <v>44650</v>
      </c>
      <c r="G2976" t="s">
        <v>11228</v>
      </c>
      <c r="H2976" t="s">
        <v>712</v>
      </c>
      <c r="I2976" t="s">
        <v>4553</v>
      </c>
      <c r="L2976" t="s">
        <v>20</v>
      </c>
      <c r="M2976" t="s">
        <v>11235</v>
      </c>
    </row>
    <row r="2977" spans="1:13" x14ac:dyDescent="0.25">
      <c r="A2977">
        <v>6943625</v>
      </c>
      <c r="B2977" t="s">
        <v>11236</v>
      </c>
      <c r="C2977" t="str">
        <f>"9783030964115"</f>
        <v>9783030964115</v>
      </c>
      <c r="D2977" t="str">
        <f>"9783030964122"</f>
        <v>9783030964122</v>
      </c>
      <c r="E2977" t="s">
        <v>2905</v>
      </c>
      <c r="F2977" s="1">
        <v>44682</v>
      </c>
      <c r="G2977" t="s">
        <v>11237</v>
      </c>
      <c r="H2977" t="s">
        <v>712</v>
      </c>
      <c r="I2977" t="s">
        <v>9859</v>
      </c>
      <c r="L2977" t="s">
        <v>20</v>
      </c>
      <c r="M2977" t="s">
        <v>11238</v>
      </c>
    </row>
    <row r="2978" spans="1:13" x14ac:dyDescent="0.25">
      <c r="A2978">
        <v>6944353</v>
      </c>
      <c r="B2978" t="s">
        <v>11239</v>
      </c>
      <c r="C2978" t="str">
        <f>"9783030919580"</f>
        <v>9783030919580</v>
      </c>
      <c r="D2978" t="str">
        <f>"9783030919597"</f>
        <v>9783030919597</v>
      </c>
      <c r="E2978" t="s">
        <v>2905</v>
      </c>
      <c r="F2978" s="1">
        <v>44653</v>
      </c>
      <c r="G2978" t="s">
        <v>11240</v>
      </c>
      <c r="H2978" t="s">
        <v>363</v>
      </c>
      <c r="I2978" t="s">
        <v>6563</v>
      </c>
      <c r="J2978">
        <v>379.48</v>
      </c>
      <c r="L2978" t="s">
        <v>20</v>
      </c>
      <c r="M2978" t="s">
        <v>11241</v>
      </c>
    </row>
    <row r="2979" spans="1:13" x14ac:dyDescent="0.25">
      <c r="A2979">
        <v>6944375</v>
      </c>
      <c r="B2979" t="s">
        <v>11242</v>
      </c>
      <c r="C2979" t="str">
        <f>"9783658366186"</f>
        <v>9783658366186</v>
      </c>
      <c r="D2979" t="str">
        <f>"9783658366193"</f>
        <v>9783658366193</v>
      </c>
      <c r="E2979" t="s">
        <v>4472</v>
      </c>
      <c r="F2979" s="1">
        <v>44705</v>
      </c>
      <c r="G2979" t="s">
        <v>11243</v>
      </c>
      <c r="H2979" t="s">
        <v>64</v>
      </c>
      <c r="I2979" t="s">
        <v>11244</v>
      </c>
      <c r="L2979" t="s">
        <v>291</v>
      </c>
      <c r="M2979" t="s">
        <v>11245</v>
      </c>
    </row>
    <row r="2980" spans="1:13" x14ac:dyDescent="0.25">
      <c r="A2980">
        <v>6944403</v>
      </c>
      <c r="B2980" t="s">
        <v>11246</v>
      </c>
      <c r="C2980" t="str">
        <f>"9783030928162"</f>
        <v>9783030928162</v>
      </c>
      <c r="D2980" t="str">
        <f>"9783030928179"</f>
        <v>9783030928179</v>
      </c>
      <c r="E2980" t="s">
        <v>2905</v>
      </c>
      <c r="F2980" s="1">
        <v>44714</v>
      </c>
      <c r="G2980" t="s">
        <v>11247</v>
      </c>
      <c r="H2980" t="s">
        <v>1586</v>
      </c>
      <c r="I2980" t="s">
        <v>8193</v>
      </c>
      <c r="L2980" t="s">
        <v>20</v>
      </c>
      <c r="M2980" t="s">
        <v>11248</v>
      </c>
    </row>
    <row r="2981" spans="1:13" x14ac:dyDescent="0.25">
      <c r="A2981">
        <v>6944412</v>
      </c>
      <c r="B2981" t="s">
        <v>11249</v>
      </c>
      <c r="C2981" t="str">
        <f>"9783658370527"</f>
        <v>9783658370527</v>
      </c>
      <c r="D2981" t="str">
        <f>"9783658370534"</f>
        <v>9783658370534</v>
      </c>
      <c r="E2981" t="s">
        <v>4472</v>
      </c>
      <c r="F2981" s="1">
        <v>44691</v>
      </c>
      <c r="G2981" t="s">
        <v>11250</v>
      </c>
      <c r="H2981" t="s">
        <v>16</v>
      </c>
      <c r="I2981" t="s">
        <v>6132</v>
      </c>
      <c r="L2981" t="s">
        <v>291</v>
      </c>
      <c r="M2981" t="s">
        <v>11251</v>
      </c>
    </row>
    <row r="2982" spans="1:13" x14ac:dyDescent="0.25">
      <c r="A2982">
        <v>6944864</v>
      </c>
      <c r="B2982" t="s">
        <v>11252</v>
      </c>
      <c r="C2982" t="str">
        <f>"9781644694145"</f>
        <v>9781644694145</v>
      </c>
      <c r="D2982" t="str">
        <f>"9781644698303"</f>
        <v>9781644698303</v>
      </c>
      <c r="E2982" t="s">
        <v>2224</v>
      </c>
      <c r="F2982" s="1">
        <v>44642</v>
      </c>
      <c r="G2982" t="s">
        <v>11253</v>
      </c>
      <c r="H2982" t="s">
        <v>851</v>
      </c>
      <c r="J2982">
        <v>491.709</v>
      </c>
      <c r="L2982" t="s">
        <v>20</v>
      </c>
      <c r="M2982" t="s">
        <v>11254</v>
      </c>
    </row>
    <row r="2983" spans="1:13" x14ac:dyDescent="0.25">
      <c r="A2983">
        <v>6944886</v>
      </c>
      <c r="B2983" t="s">
        <v>11255</v>
      </c>
      <c r="C2983" t="str">
        <f>"9781846311833"</f>
        <v>9781846311833</v>
      </c>
      <c r="D2983" t="str">
        <f>"9781789624229"</f>
        <v>9781789624229</v>
      </c>
      <c r="E2983" t="s">
        <v>4290</v>
      </c>
      <c r="F2983" s="1">
        <v>39934</v>
      </c>
      <c r="G2983" t="s">
        <v>11256</v>
      </c>
      <c r="H2983" t="s">
        <v>70</v>
      </c>
      <c r="L2983" t="s">
        <v>20</v>
      </c>
      <c r="M2983" t="s">
        <v>11257</v>
      </c>
    </row>
    <row r="2984" spans="1:13" x14ac:dyDescent="0.25">
      <c r="A2984">
        <v>6944888</v>
      </c>
      <c r="B2984" t="s">
        <v>11258</v>
      </c>
      <c r="C2984" t="str">
        <f>"9781846314780"</f>
        <v>9781846314780</v>
      </c>
      <c r="D2984" t="str">
        <f>"9781789624182"</f>
        <v>9781789624182</v>
      </c>
      <c r="E2984" t="s">
        <v>4290</v>
      </c>
      <c r="F2984" s="1">
        <v>40436</v>
      </c>
      <c r="G2984" t="s">
        <v>11259</v>
      </c>
      <c r="H2984" t="s">
        <v>70</v>
      </c>
      <c r="J2984">
        <v>821.91399999999999</v>
      </c>
      <c r="L2984" t="s">
        <v>20</v>
      </c>
      <c r="M2984" t="s">
        <v>11260</v>
      </c>
    </row>
    <row r="2985" spans="1:13" x14ac:dyDescent="0.25">
      <c r="A2985">
        <v>6944889</v>
      </c>
      <c r="B2985" t="s">
        <v>11261</v>
      </c>
      <c r="C2985" t="str">
        <f>"9781786942050"</f>
        <v>9781786942050</v>
      </c>
      <c r="D2985" t="str">
        <f>"9781786949646"</f>
        <v>9781786949646</v>
      </c>
      <c r="E2985" t="s">
        <v>4290</v>
      </c>
      <c r="F2985" s="1">
        <v>43525</v>
      </c>
      <c r="G2985" t="s">
        <v>11262</v>
      </c>
      <c r="H2985" t="s">
        <v>2368</v>
      </c>
      <c r="J2985">
        <v>332.10680000000002</v>
      </c>
      <c r="L2985" t="s">
        <v>20</v>
      </c>
      <c r="M2985" t="s">
        <v>11263</v>
      </c>
    </row>
    <row r="2986" spans="1:13" x14ac:dyDescent="0.25">
      <c r="A2986">
        <v>6944890</v>
      </c>
      <c r="B2986" t="s">
        <v>11264</v>
      </c>
      <c r="C2986" t="str">
        <f>"9781846311949"</f>
        <v>9781846311949</v>
      </c>
      <c r="D2986" t="str">
        <f>"9781789624212"</f>
        <v>9781789624212</v>
      </c>
      <c r="E2986" t="s">
        <v>4290</v>
      </c>
      <c r="F2986" s="1">
        <v>39965</v>
      </c>
      <c r="G2986" t="s">
        <v>11265</v>
      </c>
      <c r="H2986" t="s">
        <v>139</v>
      </c>
      <c r="J2986">
        <v>941.08109200000001</v>
      </c>
      <c r="L2986" t="s">
        <v>20</v>
      </c>
      <c r="M2986" t="s">
        <v>11266</v>
      </c>
    </row>
    <row r="2987" spans="1:13" x14ac:dyDescent="0.25">
      <c r="A2987">
        <v>6944931</v>
      </c>
      <c r="B2987" t="s">
        <v>11267</v>
      </c>
      <c r="C2987" t="str">
        <f>"9783030949631"</f>
        <v>9783030949631</v>
      </c>
      <c r="D2987" t="str">
        <f>"9783030949648"</f>
        <v>9783030949648</v>
      </c>
      <c r="E2987" t="s">
        <v>2905</v>
      </c>
      <c r="F2987" s="1">
        <v>44653</v>
      </c>
      <c r="G2987" t="s">
        <v>11268</v>
      </c>
      <c r="H2987" t="s">
        <v>64</v>
      </c>
      <c r="I2987" t="s">
        <v>11269</v>
      </c>
      <c r="J2987">
        <v>305.23509710000002</v>
      </c>
      <c r="L2987" t="s">
        <v>20</v>
      </c>
      <c r="M2987" t="s">
        <v>11270</v>
      </c>
    </row>
    <row r="2988" spans="1:13" x14ac:dyDescent="0.25">
      <c r="A2988">
        <v>6944947</v>
      </c>
      <c r="B2988" t="s">
        <v>11271</v>
      </c>
      <c r="C2988" t="str">
        <f>"9789811676208"</f>
        <v>9789811676208</v>
      </c>
      <c r="D2988" t="str">
        <f>"9789811676215"</f>
        <v>9789811676215</v>
      </c>
      <c r="E2988" t="s">
        <v>2906</v>
      </c>
      <c r="F2988" s="1">
        <v>44653</v>
      </c>
      <c r="G2988" t="s">
        <v>11272</v>
      </c>
      <c r="H2988" t="s">
        <v>712</v>
      </c>
      <c r="I2988" t="s">
        <v>5272</v>
      </c>
      <c r="L2988" t="s">
        <v>20</v>
      </c>
      <c r="M2988" t="s">
        <v>11273</v>
      </c>
    </row>
    <row r="2989" spans="1:13" x14ac:dyDescent="0.25">
      <c r="A2989">
        <v>6946353</v>
      </c>
      <c r="B2989" t="s">
        <v>11274</v>
      </c>
      <c r="C2989" t="str">
        <f>"9783030968434"</f>
        <v>9783030968434</v>
      </c>
      <c r="D2989" t="str">
        <f>"9783030968441"</f>
        <v>9783030968441</v>
      </c>
      <c r="E2989" t="s">
        <v>2905</v>
      </c>
      <c r="F2989" s="1">
        <v>44685</v>
      </c>
      <c r="G2989" t="s">
        <v>11275</v>
      </c>
      <c r="H2989" t="s">
        <v>64</v>
      </c>
      <c r="I2989" t="s">
        <v>6029</v>
      </c>
      <c r="L2989" t="s">
        <v>20</v>
      </c>
      <c r="M2989" t="s">
        <v>11276</v>
      </c>
    </row>
    <row r="2990" spans="1:13" x14ac:dyDescent="0.25">
      <c r="A2990">
        <v>6946374</v>
      </c>
      <c r="B2990" t="s">
        <v>11277</v>
      </c>
      <c r="C2990" t="str">
        <f>"9783662646847"</f>
        <v>9783662646847</v>
      </c>
      <c r="D2990" t="str">
        <f>"9783662646854"</f>
        <v>9783662646854</v>
      </c>
      <c r="E2990" t="s">
        <v>4540</v>
      </c>
      <c r="F2990" s="1">
        <v>44656</v>
      </c>
      <c r="G2990" t="s">
        <v>6960</v>
      </c>
      <c r="H2990" t="s">
        <v>266</v>
      </c>
      <c r="I2990" t="s">
        <v>5440</v>
      </c>
      <c r="L2990" t="s">
        <v>291</v>
      </c>
      <c r="M2990" t="s">
        <v>11278</v>
      </c>
    </row>
    <row r="2991" spans="1:13" x14ac:dyDescent="0.25">
      <c r="A2991">
        <v>6947041</v>
      </c>
      <c r="B2991" t="s">
        <v>11279</v>
      </c>
      <c r="C2991" t="str">
        <f>"9783658333058"</f>
        <v>9783658333058</v>
      </c>
      <c r="D2991" t="str">
        <f>"9783658333065"</f>
        <v>9783658333065</v>
      </c>
      <c r="E2991" t="s">
        <v>4472</v>
      </c>
      <c r="F2991" s="1">
        <v>44657</v>
      </c>
      <c r="G2991" t="s">
        <v>11280</v>
      </c>
      <c r="H2991" t="s">
        <v>239</v>
      </c>
      <c r="I2991" t="s">
        <v>6585</v>
      </c>
      <c r="L2991" t="s">
        <v>291</v>
      </c>
      <c r="M2991" t="s">
        <v>11281</v>
      </c>
    </row>
    <row r="2992" spans="1:13" x14ac:dyDescent="0.25">
      <c r="A2992">
        <v>6947060</v>
      </c>
      <c r="B2992" t="s">
        <v>11282</v>
      </c>
      <c r="C2992" t="str">
        <f>"9783030945763"</f>
        <v>9783030945763</v>
      </c>
      <c r="D2992" t="str">
        <f>"9783030945770"</f>
        <v>9783030945770</v>
      </c>
      <c r="E2992" t="s">
        <v>2905</v>
      </c>
      <c r="F2992" s="1">
        <v>44657</v>
      </c>
      <c r="G2992" t="s">
        <v>11283</v>
      </c>
      <c r="H2992" t="s">
        <v>266</v>
      </c>
      <c r="I2992" t="s">
        <v>5672</v>
      </c>
      <c r="L2992" t="s">
        <v>20</v>
      </c>
      <c r="M2992" t="s">
        <v>11284</v>
      </c>
    </row>
    <row r="2993" spans="1:13" x14ac:dyDescent="0.25">
      <c r="A2993">
        <v>6949311</v>
      </c>
      <c r="B2993" t="s">
        <v>11285</v>
      </c>
      <c r="C2993" t="str">
        <f>"9783031040351"</f>
        <v>9783031040351</v>
      </c>
      <c r="D2993" t="str">
        <f>"9783031040368"</f>
        <v>9783031040368</v>
      </c>
      <c r="E2993" t="s">
        <v>2905</v>
      </c>
      <c r="F2993" s="1">
        <v>44689</v>
      </c>
      <c r="G2993" t="s">
        <v>11286</v>
      </c>
      <c r="H2993" t="s">
        <v>712</v>
      </c>
      <c r="I2993" t="s">
        <v>5426</v>
      </c>
      <c r="L2993" t="s">
        <v>20</v>
      </c>
      <c r="M2993" t="s">
        <v>11287</v>
      </c>
    </row>
    <row r="2994" spans="1:13" x14ac:dyDescent="0.25">
      <c r="A2994">
        <v>6949317</v>
      </c>
      <c r="B2994" t="s">
        <v>11288</v>
      </c>
      <c r="C2994" t="str">
        <f>"9783030898571"</f>
        <v>9783030898571</v>
      </c>
      <c r="D2994" t="str">
        <f>"9783030898588"</f>
        <v>9783030898588</v>
      </c>
      <c r="E2994" t="s">
        <v>2905</v>
      </c>
      <c r="F2994" s="1">
        <v>44704</v>
      </c>
      <c r="G2994" t="s">
        <v>11289</v>
      </c>
      <c r="H2994" t="s">
        <v>146</v>
      </c>
      <c r="I2994" t="s">
        <v>10155</v>
      </c>
      <c r="J2994">
        <v>320.01900000000001</v>
      </c>
      <c r="L2994" t="s">
        <v>20</v>
      </c>
      <c r="M2994" t="s">
        <v>11290</v>
      </c>
    </row>
    <row r="2995" spans="1:13" x14ac:dyDescent="0.25">
      <c r="A2995">
        <v>6949332</v>
      </c>
      <c r="B2995" t="s">
        <v>11291</v>
      </c>
      <c r="C2995" t="str">
        <f>"9783030862350"</f>
        <v>9783030862350</v>
      </c>
      <c r="D2995" t="str">
        <f>"9783030862367"</f>
        <v>9783030862367</v>
      </c>
      <c r="E2995" t="s">
        <v>2905</v>
      </c>
      <c r="F2995" s="1">
        <v>44689</v>
      </c>
      <c r="G2995" t="s">
        <v>11292</v>
      </c>
      <c r="H2995" t="s">
        <v>4915</v>
      </c>
      <c r="I2995" t="s">
        <v>10572</v>
      </c>
      <c r="L2995" t="s">
        <v>20</v>
      </c>
      <c r="M2995" t="s">
        <v>11293</v>
      </c>
    </row>
    <row r="2996" spans="1:13" x14ac:dyDescent="0.25">
      <c r="A2996">
        <v>6949336</v>
      </c>
      <c r="B2996" t="s">
        <v>11294</v>
      </c>
      <c r="C2996" t="str">
        <f>"9783030920210"</f>
        <v>9783030920210</v>
      </c>
      <c r="D2996" t="str">
        <f>"9783030920227"</f>
        <v>9783030920227</v>
      </c>
      <c r="E2996" t="s">
        <v>2905</v>
      </c>
      <c r="F2996" s="1">
        <v>44677</v>
      </c>
      <c r="G2996" t="s">
        <v>11295</v>
      </c>
      <c r="H2996" t="s">
        <v>1283</v>
      </c>
      <c r="I2996" t="s">
        <v>4833</v>
      </c>
      <c r="L2996" t="s">
        <v>20</v>
      </c>
      <c r="M2996" t="s">
        <v>11296</v>
      </c>
    </row>
    <row r="2997" spans="1:13" x14ac:dyDescent="0.25">
      <c r="A2997">
        <v>6949853</v>
      </c>
      <c r="B2997" t="s">
        <v>11297</v>
      </c>
      <c r="C2997" t="str">
        <f>"9783658332549"</f>
        <v>9783658332549</v>
      </c>
      <c r="D2997" t="str">
        <f>"9783658332556"</f>
        <v>9783658332556</v>
      </c>
      <c r="E2997" t="s">
        <v>4472</v>
      </c>
      <c r="F2997" s="1">
        <v>44366</v>
      </c>
      <c r="G2997" t="s">
        <v>11298</v>
      </c>
      <c r="H2997" t="s">
        <v>30</v>
      </c>
      <c r="I2997" t="s">
        <v>4807</v>
      </c>
      <c r="L2997" t="s">
        <v>291</v>
      </c>
      <c r="M2997" t="s">
        <v>11299</v>
      </c>
    </row>
    <row r="2998" spans="1:13" x14ac:dyDescent="0.25">
      <c r="A2998">
        <v>6949866</v>
      </c>
      <c r="B2998" t="s">
        <v>11300</v>
      </c>
      <c r="C2998" t="str">
        <f>"9781648250132"</f>
        <v>9781648250132</v>
      </c>
      <c r="D2998" t="str">
        <f>"9781800102224"</f>
        <v>9781800102224</v>
      </c>
      <c r="E2998" t="s">
        <v>11136</v>
      </c>
      <c r="F2998" s="1">
        <v>44357</v>
      </c>
      <c r="G2998" t="s">
        <v>11301</v>
      </c>
      <c r="H2998" t="s">
        <v>266</v>
      </c>
      <c r="L2998" t="s">
        <v>20</v>
      </c>
      <c r="M2998" t="s">
        <v>11302</v>
      </c>
    </row>
    <row r="2999" spans="1:13" x14ac:dyDescent="0.25">
      <c r="A2999">
        <v>6950014</v>
      </c>
      <c r="B2999" t="s">
        <v>11303</v>
      </c>
      <c r="C2999" t="str">
        <f>"9781847012661"</f>
        <v>9781847012661</v>
      </c>
      <c r="D2999" t="str">
        <f>"9781800101487"</f>
        <v>9781800101487</v>
      </c>
      <c r="E2999" t="s">
        <v>11304</v>
      </c>
      <c r="F2999" s="1">
        <v>44355</v>
      </c>
      <c r="G2999" t="s">
        <v>11305</v>
      </c>
      <c r="H2999" t="s">
        <v>7959</v>
      </c>
      <c r="L2999" t="s">
        <v>20</v>
      </c>
      <c r="M2999" t="s">
        <v>11306</v>
      </c>
    </row>
    <row r="3000" spans="1:13" x14ac:dyDescent="0.25">
      <c r="A3000">
        <v>6950015</v>
      </c>
      <c r="B3000" t="s">
        <v>11307</v>
      </c>
      <c r="C3000" t="str">
        <f>""</f>
        <v/>
      </c>
      <c r="D3000" t="str">
        <f>"9781800104532"</f>
        <v>9781800104532</v>
      </c>
      <c r="E3000" t="s">
        <v>11136</v>
      </c>
      <c r="F3000" s="1">
        <v>44602</v>
      </c>
      <c r="G3000" t="s">
        <v>11308</v>
      </c>
      <c r="H3000" t="s">
        <v>246</v>
      </c>
      <c r="J3000">
        <v>780.92</v>
      </c>
      <c r="L3000" t="s">
        <v>20</v>
      </c>
      <c r="M3000" t="s">
        <v>11309</v>
      </c>
    </row>
    <row r="3001" spans="1:13" x14ac:dyDescent="0.25">
      <c r="A3001">
        <v>6950016</v>
      </c>
      <c r="B3001" t="s">
        <v>11307</v>
      </c>
      <c r="C3001" t="str">
        <f>""</f>
        <v/>
      </c>
      <c r="D3001" t="str">
        <f>"9781800105218"</f>
        <v>9781800105218</v>
      </c>
      <c r="E3001" t="s">
        <v>11136</v>
      </c>
      <c r="F3001" s="1">
        <v>44602</v>
      </c>
      <c r="G3001" t="s">
        <v>11308</v>
      </c>
      <c r="H3001" t="s">
        <v>246</v>
      </c>
      <c r="J3001">
        <v>780.92</v>
      </c>
      <c r="L3001" t="s">
        <v>20</v>
      </c>
      <c r="M3001" t="s">
        <v>11310</v>
      </c>
    </row>
    <row r="3002" spans="1:13" x14ac:dyDescent="0.25">
      <c r="A3002">
        <v>6950017</v>
      </c>
      <c r="B3002" t="s">
        <v>11311</v>
      </c>
      <c r="C3002" t="str">
        <f>"9781580462792"</f>
        <v>9781580462792</v>
      </c>
      <c r="D3002" t="str">
        <f>"9781580467414"</f>
        <v>9781580467414</v>
      </c>
      <c r="E3002" t="s">
        <v>11136</v>
      </c>
      <c r="F3002" s="1">
        <v>39706</v>
      </c>
      <c r="G3002" t="s">
        <v>11312</v>
      </c>
      <c r="H3002" t="s">
        <v>2597</v>
      </c>
      <c r="J3002">
        <v>362.1095694</v>
      </c>
      <c r="L3002" t="s">
        <v>20</v>
      </c>
      <c r="M3002" t="s">
        <v>11313</v>
      </c>
    </row>
    <row r="3003" spans="1:13" x14ac:dyDescent="0.25">
      <c r="A3003">
        <v>6950018</v>
      </c>
      <c r="B3003" t="s">
        <v>11314</v>
      </c>
      <c r="C3003" t="str">
        <f>"9781847011688"</f>
        <v>9781847011688</v>
      </c>
      <c r="D3003" t="str">
        <f>"9781787440579"</f>
        <v>9781787440579</v>
      </c>
      <c r="E3003" t="s">
        <v>11304</v>
      </c>
      <c r="F3003" s="1">
        <v>42965</v>
      </c>
      <c r="G3003" t="s">
        <v>11315</v>
      </c>
      <c r="H3003" t="s">
        <v>5453</v>
      </c>
      <c r="J3003" t="s">
        <v>11316</v>
      </c>
      <c r="L3003" t="s">
        <v>20</v>
      </c>
      <c r="M3003" t="s">
        <v>11317</v>
      </c>
    </row>
    <row r="3004" spans="1:13" x14ac:dyDescent="0.25">
      <c r="A3004">
        <v>6950019</v>
      </c>
      <c r="B3004" t="s">
        <v>11318</v>
      </c>
      <c r="C3004" t="str">
        <f>""</f>
        <v/>
      </c>
      <c r="D3004" t="str">
        <f>"9781800103030"</f>
        <v>9781800103030</v>
      </c>
      <c r="E3004" t="s">
        <v>11319</v>
      </c>
      <c r="F3004" s="1">
        <v>44621</v>
      </c>
      <c r="G3004" t="s">
        <v>11320</v>
      </c>
      <c r="H3004" t="s">
        <v>246</v>
      </c>
      <c r="J3004">
        <v>791.43719999999996</v>
      </c>
      <c r="L3004" t="s">
        <v>20</v>
      </c>
      <c r="M3004" t="s">
        <v>11321</v>
      </c>
    </row>
    <row r="3005" spans="1:13" x14ac:dyDescent="0.25">
      <c r="A3005">
        <v>6950020</v>
      </c>
      <c r="B3005" t="s">
        <v>11322</v>
      </c>
      <c r="C3005" t="str">
        <f>"9781648250040"</f>
        <v>9781648250040</v>
      </c>
      <c r="D3005" t="str">
        <f>"9781787449428"</f>
        <v>9781787449428</v>
      </c>
      <c r="E3005" t="s">
        <v>11136</v>
      </c>
      <c r="F3005" s="1">
        <v>44150</v>
      </c>
      <c r="G3005" t="s">
        <v>11323</v>
      </c>
      <c r="H3005" t="s">
        <v>3047</v>
      </c>
      <c r="L3005" t="s">
        <v>20</v>
      </c>
      <c r="M3005" t="s">
        <v>11324</v>
      </c>
    </row>
    <row r="3006" spans="1:13" x14ac:dyDescent="0.25">
      <c r="A3006">
        <v>6950021</v>
      </c>
      <c r="B3006" t="s">
        <v>11325</v>
      </c>
      <c r="C3006" t="str">
        <f>"9781580461221"</f>
        <v>9781580461221</v>
      </c>
      <c r="D3006" t="str">
        <f>"9781580466134"</f>
        <v>9781580466134</v>
      </c>
      <c r="E3006" t="s">
        <v>11136</v>
      </c>
      <c r="F3006" s="1">
        <v>37570</v>
      </c>
      <c r="G3006" t="s">
        <v>11312</v>
      </c>
      <c r="H3006" t="s">
        <v>266</v>
      </c>
      <c r="I3006" t="s">
        <v>11326</v>
      </c>
      <c r="J3006" t="s">
        <v>11327</v>
      </c>
      <c r="L3006" t="s">
        <v>20</v>
      </c>
      <c r="M3006" t="s">
        <v>11328</v>
      </c>
    </row>
    <row r="3007" spans="1:13" x14ac:dyDescent="0.25">
      <c r="A3007">
        <v>6950023</v>
      </c>
      <c r="B3007" t="s">
        <v>11329</v>
      </c>
      <c r="C3007" t="str">
        <f>"9781580469845"</f>
        <v>9781580469845</v>
      </c>
      <c r="D3007" t="str">
        <f>"9781787447202"</f>
        <v>9781787447202</v>
      </c>
      <c r="E3007" t="s">
        <v>11136</v>
      </c>
      <c r="F3007" s="1">
        <v>44005</v>
      </c>
      <c r="G3007" t="s">
        <v>11330</v>
      </c>
      <c r="H3007" t="s">
        <v>780</v>
      </c>
      <c r="L3007" t="s">
        <v>20</v>
      </c>
      <c r="M3007" t="s">
        <v>11331</v>
      </c>
    </row>
    <row r="3008" spans="1:13" x14ac:dyDescent="0.25">
      <c r="A3008">
        <v>6950331</v>
      </c>
      <c r="B3008" t="s">
        <v>11332</v>
      </c>
      <c r="C3008" t="str">
        <f>"9789811673849"</f>
        <v>9789811673849</v>
      </c>
      <c r="D3008" t="str">
        <f>"9789811673856"</f>
        <v>9789811673856</v>
      </c>
      <c r="E3008" t="s">
        <v>4099</v>
      </c>
      <c r="F3008" s="1">
        <v>44695</v>
      </c>
      <c r="G3008" t="s">
        <v>11333</v>
      </c>
      <c r="H3008" t="s">
        <v>2597</v>
      </c>
      <c r="I3008" t="s">
        <v>4255</v>
      </c>
      <c r="L3008" t="s">
        <v>20</v>
      </c>
      <c r="M3008" t="s">
        <v>11334</v>
      </c>
    </row>
    <row r="3009" spans="1:13" x14ac:dyDescent="0.25">
      <c r="A3009">
        <v>6950332</v>
      </c>
      <c r="B3009" t="s">
        <v>11335</v>
      </c>
      <c r="C3009" t="str">
        <f>"9783031013393"</f>
        <v>9783031013393</v>
      </c>
      <c r="D3009" t="str">
        <f>"9783031013409"</f>
        <v>9783031013409</v>
      </c>
      <c r="E3009" t="s">
        <v>2905</v>
      </c>
      <c r="F3009" s="1">
        <v>44661</v>
      </c>
      <c r="G3009" t="s">
        <v>11336</v>
      </c>
      <c r="H3009" t="s">
        <v>4915</v>
      </c>
      <c r="I3009" t="s">
        <v>6921</v>
      </c>
      <c r="L3009" t="s">
        <v>20</v>
      </c>
      <c r="M3009" t="s">
        <v>11337</v>
      </c>
    </row>
    <row r="3010" spans="1:13" x14ac:dyDescent="0.25">
      <c r="A3010">
        <v>6951413</v>
      </c>
      <c r="B3010" t="s">
        <v>11338</v>
      </c>
      <c r="C3010" t="str">
        <f>"9783030848866"</f>
        <v>9783030848866</v>
      </c>
      <c r="D3010" t="str">
        <f>"9783030848873"</f>
        <v>9783030848873</v>
      </c>
      <c r="E3010" t="s">
        <v>2905</v>
      </c>
      <c r="F3010" s="1">
        <v>44700</v>
      </c>
      <c r="G3010" t="s">
        <v>11339</v>
      </c>
      <c r="H3010" t="s">
        <v>4180</v>
      </c>
      <c r="I3010" t="s">
        <v>4766</v>
      </c>
      <c r="L3010" t="s">
        <v>20</v>
      </c>
      <c r="M3010" t="s">
        <v>11340</v>
      </c>
    </row>
    <row r="3011" spans="1:13" x14ac:dyDescent="0.25">
      <c r="A3011">
        <v>6951933</v>
      </c>
      <c r="B3011" t="s">
        <v>11341</v>
      </c>
      <c r="C3011" t="str">
        <f>"9783030914431"</f>
        <v>9783030914431</v>
      </c>
      <c r="D3011" t="str">
        <f>"9783030920807"</f>
        <v>9783030920807</v>
      </c>
      <c r="E3011" t="s">
        <v>2905</v>
      </c>
      <c r="F3011" s="1">
        <v>44664</v>
      </c>
      <c r="G3011" t="s">
        <v>11342</v>
      </c>
      <c r="H3011" t="s">
        <v>16</v>
      </c>
      <c r="I3011" t="s">
        <v>4820</v>
      </c>
      <c r="L3011" t="s">
        <v>20</v>
      </c>
      <c r="M3011" t="s">
        <v>11343</v>
      </c>
    </row>
    <row r="3012" spans="1:13" x14ac:dyDescent="0.25">
      <c r="A3012">
        <v>6951944</v>
      </c>
      <c r="B3012" t="s">
        <v>11344</v>
      </c>
      <c r="C3012" t="str">
        <f>"9783030852573"</f>
        <v>9783030852573</v>
      </c>
      <c r="D3012" t="str">
        <f>"9783030852580"</f>
        <v>9783030852580</v>
      </c>
      <c r="E3012" t="s">
        <v>2905</v>
      </c>
      <c r="F3012" s="1">
        <v>44664</v>
      </c>
      <c r="G3012" t="s">
        <v>11345</v>
      </c>
      <c r="H3012" t="s">
        <v>16</v>
      </c>
      <c r="I3012" t="s">
        <v>4580</v>
      </c>
      <c r="L3012" t="s">
        <v>20</v>
      </c>
      <c r="M3012" t="s">
        <v>11346</v>
      </c>
    </row>
    <row r="3013" spans="1:13" x14ac:dyDescent="0.25">
      <c r="A3013">
        <v>6951957</v>
      </c>
      <c r="B3013" t="s">
        <v>11347</v>
      </c>
      <c r="C3013" t="str">
        <f>"9789811912597"</f>
        <v>9789811912597</v>
      </c>
      <c r="D3013" t="str">
        <f>"9789811912603"</f>
        <v>9789811912603</v>
      </c>
      <c r="E3013" t="s">
        <v>4099</v>
      </c>
      <c r="F3013" s="1">
        <v>44664</v>
      </c>
      <c r="G3013" t="s">
        <v>11348</v>
      </c>
      <c r="H3013" t="s">
        <v>2623</v>
      </c>
      <c r="I3013" t="s">
        <v>4495</v>
      </c>
      <c r="L3013" t="s">
        <v>20</v>
      </c>
      <c r="M3013" t="s">
        <v>11349</v>
      </c>
    </row>
    <row r="3014" spans="1:13" x14ac:dyDescent="0.25">
      <c r="A3014">
        <v>6953178</v>
      </c>
      <c r="B3014" t="s">
        <v>11350</v>
      </c>
      <c r="C3014" t="str">
        <f>"9783658368074"</f>
        <v>9783658368074</v>
      </c>
      <c r="D3014" t="str">
        <f>"9783658368081"</f>
        <v>9783658368081</v>
      </c>
      <c r="E3014" t="s">
        <v>4472</v>
      </c>
      <c r="F3014" s="1">
        <v>44696</v>
      </c>
      <c r="G3014" t="s">
        <v>11351</v>
      </c>
      <c r="H3014" t="s">
        <v>310</v>
      </c>
      <c r="I3014" t="s">
        <v>11352</v>
      </c>
      <c r="L3014" t="s">
        <v>291</v>
      </c>
      <c r="M3014" t="s">
        <v>11353</v>
      </c>
    </row>
    <row r="3015" spans="1:13" x14ac:dyDescent="0.25">
      <c r="A3015">
        <v>6953198</v>
      </c>
      <c r="B3015" t="s">
        <v>11354</v>
      </c>
      <c r="C3015" t="str">
        <f>"9783030942113"</f>
        <v>9783030942113</v>
      </c>
      <c r="D3015" t="str">
        <f>"9783030942120"</f>
        <v>9783030942120</v>
      </c>
      <c r="E3015" t="s">
        <v>2905</v>
      </c>
      <c r="F3015" s="1">
        <v>44696</v>
      </c>
      <c r="G3015" t="s">
        <v>11355</v>
      </c>
      <c r="H3015" t="s">
        <v>266</v>
      </c>
      <c r="I3015" t="s">
        <v>6084</v>
      </c>
      <c r="L3015" t="s">
        <v>20</v>
      </c>
      <c r="M3015" t="s">
        <v>11356</v>
      </c>
    </row>
    <row r="3016" spans="1:13" x14ac:dyDescent="0.25">
      <c r="A3016">
        <v>6953650</v>
      </c>
      <c r="B3016" t="s">
        <v>11357</v>
      </c>
      <c r="C3016" t="str">
        <f>"9780472132966"</f>
        <v>9780472132966</v>
      </c>
      <c r="D3016" t="str">
        <f>"9780472902712"</f>
        <v>9780472902712</v>
      </c>
      <c r="E3016" t="s">
        <v>6708</v>
      </c>
      <c r="F3016" s="1">
        <v>44645</v>
      </c>
      <c r="G3016" t="s">
        <v>11358</v>
      </c>
      <c r="H3016" t="s">
        <v>64</v>
      </c>
      <c r="J3016">
        <v>365.45094974199998</v>
      </c>
      <c r="L3016" t="s">
        <v>20</v>
      </c>
      <c r="M3016" t="s">
        <v>11359</v>
      </c>
    </row>
    <row r="3017" spans="1:13" x14ac:dyDescent="0.25">
      <c r="A3017">
        <v>6954138</v>
      </c>
      <c r="B3017" t="s">
        <v>11360</v>
      </c>
      <c r="C3017" t="str">
        <f>"9781802070095"</f>
        <v>9781802070095</v>
      </c>
      <c r="D3017" t="str">
        <f>"9781802070651"</f>
        <v>9781802070651</v>
      </c>
      <c r="E3017" t="s">
        <v>4290</v>
      </c>
      <c r="F3017" s="1">
        <v>44682</v>
      </c>
      <c r="G3017" t="s">
        <v>11361</v>
      </c>
      <c r="H3017" t="s">
        <v>70</v>
      </c>
      <c r="J3017">
        <v>809.93358000000001</v>
      </c>
      <c r="L3017" t="s">
        <v>20</v>
      </c>
      <c r="M3017" t="s">
        <v>11362</v>
      </c>
    </row>
    <row r="3018" spans="1:13" x14ac:dyDescent="0.25">
      <c r="A3018">
        <v>6954145</v>
      </c>
      <c r="B3018" t="s">
        <v>11363</v>
      </c>
      <c r="C3018" t="str">
        <f>"9789811909191"</f>
        <v>9789811909191</v>
      </c>
      <c r="D3018" t="str">
        <f>"9789811909207"</f>
        <v>9789811909207</v>
      </c>
      <c r="E3018" t="s">
        <v>2906</v>
      </c>
      <c r="F3018" s="1">
        <v>44703</v>
      </c>
      <c r="G3018" t="s">
        <v>11364</v>
      </c>
      <c r="H3018" t="s">
        <v>1753</v>
      </c>
      <c r="I3018" t="s">
        <v>11365</v>
      </c>
      <c r="L3018" t="s">
        <v>20</v>
      </c>
      <c r="M3018" t="s">
        <v>11366</v>
      </c>
    </row>
    <row r="3019" spans="1:13" x14ac:dyDescent="0.25">
      <c r="A3019">
        <v>6954215</v>
      </c>
      <c r="B3019" t="s">
        <v>11367</v>
      </c>
      <c r="C3019" t="str">
        <f>"9789814338837"</f>
        <v>9789814338837</v>
      </c>
      <c r="D3019" t="str">
        <f>"9789814338851"</f>
        <v>9789814338851</v>
      </c>
      <c r="E3019" t="s">
        <v>4445</v>
      </c>
      <c r="F3019" s="1">
        <v>40802</v>
      </c>
      <c r="G3019" t="s">
        <v>11368</v>
      </c>
      <c r="H3019" t="s">
        <v>4970</v>
      </c>
      <c r="L3019" t="s">
        <v>20</v>
      </c>
      <c r="M3019" t="s">
        <v>11369</v>
      </c>
    </row>
    <row r="3020" spans="1:13" x14ac:dyDescent="0.25">
      <c r="A3020">
        <v>6954332</v>
      </c>
      <c r="B3020" t="s">
        <v>11370</v>
      </c>
      <c r="C3020" t="str">
        <f>"9783031040825"</f>
        <v>9783031040825</v>
      </c>
      <c r="D3020" t="str">
        <f>"9783031040832"</f>
        <v>9783031040832</v>
      </c>
      <c r="E3020" t="s">
        <v>2905</v>
      </c>
      <c r="F3020" s="1">
        <v>44706</v>
      </c>
      <c r="G3020" t="s">
        <v>11371</v>
      </c>
      <c r="H3020" t="s">
        <v>4180</v>
      </c>
      <c r="I3020" t="s">
        <v>4181</v>
      </c>
      <c r="L3020" t="s">
        <v>20</v>
      </c>
      <c r="M3020" t="s">
        <v>11372</v>
      </c>
    </row>
    <row r="3021" spans="1:13" x14ac:dyDescent="0.25">
      <c r="A3021">
        <v>6954915</v>
      </c>
      <c r="B3021" t="s">
        <v>11373</v>
      </c>
      <c r="C3021" t="str">
        <f>"9783658371791"</f>
        <v>9783658371791</v>
      </c>
      <c r="D3021" t="str">
        <f>"9783658371807"</f>
        <v>9783658371807</v>
      </c>
      <c r="E3021" t="s">
        <v>4472</v>
      </c>
      <c r="F3021" s="1">
        <v>44670</v>
      </c>
      <c r="G3021" t="s">
        <v>11374</v>
      </c>
      <c r="H3021" t="s">
        <v>1178</v>
      </c>
      <c r="I3021" t="s">
        <v>4478</v>
      </c>
      <c r="L3021" t="s">
        <v>291</v>
      </c>
      <c r="M3021" t="s">
        <v>11375</v>
      </c>
    </row>
    <row r="3022" spans="1:13" x14ac:dyDescent="0.25">
      <c r="A3022">
        <v>6954926</v>
      </c>
      <c r="B3022" t="s">
        <v>11376</v>
      </c>
      <c r="C3022" t="str">
        <f>"9783662649336"</f>
        <v>9783662649336</v>
      </c>
      <c r="D3022" t="str">
        <f>"9783662649343"</f>
        <v>9783662649343</v>
      </c>
      <c r="E3022" t="s">
        <v>4540</v>
      </c>
      <c r="F3022" s="1">
        <v>44670</v>
      </c>
      <c r="G3022" t="s">
        <v>11377</v>
      </c>
      <c r="H3022" t="s">
        <v>2603</v>
      </c>
      <c r="I3022" t="s">
        <v>4646</v>
      </c>
      <c r="L3022" t="s">
        <v>291</v>
      </c>
      <c r="M3022" t="s">
        <v>11378</v>
      </c>
    </row>
    <row r="3023" spans="1:13" x14ac:dyDescent="0.25">
      <c r="A3023">
        <v>6955499</v>
      </c>
      <c r="B3023" t="s">
        <v>11379</v>
      </c>
      <c r="C3023" t="str">
        <f>"9780472038787"</f>
        <v>9780472038787</v>
      </c>
      <c r="D3023" t="str">
        <f>"9780472902507"</f>
        <v>9780472902507</v>
      </c>
      <c r="E3023" t="s">
        <v>6708</v>
      </c>
      <c r="F3023" s="1">
        <v>44529</v>
      </c>
      <c r="G3023" t="s">
        <v>11380</v>
      </c>
      <c r="H3023" t="s">
        <v>1624</v>
      </c>
      <c r="J3023">
        <v>362.19624140000002</v>
      </c>
      <c r="L3023" t="s">
        <v>20</v>
      </c>
      <c r="M3023" t="s">
        <v>11381</v>
      </c>
    </row>
    <row r="3024" spans="1:13" x14ac:dyDescent="0.25">
      <c r="A3024">
        <v>6957420</v>
      </c>
      <c r="B3024" t="s">
        <v>11382</v>
      </c>
      <c r="C3024" t="str">
        <f>"9783030937973"</f>
        <v>9783030937973</v>
      </c>
      <c r="D3024" t="str">
        <f>"9783030937980"</f>
        <v>9783030937980</v>
      </c>
      <c r="E3024" t="s">
        <v>2905</v>
      </c>
      <c r="F3024" s="1">
        <v>44706</v>
      </c>
      <c r="G3024" t="s">
        <v>11383</v>
      </c>
      <c r="H3024" t="s">
        <v>310</v>
      </c>
      <c r="I3024" t="s">
        <v>10171</v>
      </c>
      <c r="J3024">
        <v>297.8</v>
      </c>
      <c r="L3024" t="s">
        <v>20</v>
      </c>
      <c r="M3024" t="s">
        <v>11384</v>
      </c>
    </row>
    <row r="3025" spans="1:13" x14ac:dyDescent="0.25">
      <c r="A3025">
        <v>6961053</v>
      </c>
      <c r="B3025" t="s">
        <v>11385</v>
      </c>
      <c r="C3025" t="str">
        <f>"9783030888015"</f>
        <v>9783030888015</v>
      </c>
      <c r="D3025" t="str">
        <f>"9783030888022"</f>
        <v>9783030888022</v>
      </c>
      <c r="E3025" t="s">
        <v>2905</v>
      </c>
      <c r="F3025" s="1">
        <v>44705</v>
      </c>
      <c r="G3025" t="s">
        <v>11386</v>
      </c>
      <c r="H3025" t="s">
        <v>1283</v>
      </c>
      <c r="I3025" t="s">
        <v>5683</v>
      </c>
      <c r="L3025" t="s">
        <v>20</v>
      </c>
      <c r="M3025" t="s">
        <v>11387</v>
      </c>
    </row>
    <row r="3026" spans="1:13" x14ac:dyDescent="0.25">
      <c r="A3026">
        <v>6961341</v>
      </c>
      <c r="B3026" t="s">
        <v>11388</v>
      </c>
      <c r="C3026" t="str">
        <f>"9783030967086"</f>
        <v>9783030967086</v>
      </c>
      <c r="D3026" t="str">
        <f>"9783030967093"</f>
        <v>9783030967093</v>
      </c>
      <c r="E3026" t="s">
        <v>2905</v>
      </c>
      <c r="F3026" s="1">
        <v>44716</v>
      </c>
      <c r="G3026" t="s">
        <v>11389</v>
      </c>
      <c r="H3026" t="s">
        <v>2528</v>
      </c>
      <c r="I3026" t="s">
        <v>5298</v>
      </c>
      <c r="L3026" t="s">
        <v>20</v>
      </c>
      <c r="M3026" t="s">
        <v>11390</v>
      </c>
    </row>
    <row r="3027" spans="1:13" x14ac:dyDescent="0.25">
      <c r="A3027">
        <v>6961413</v>
      </c>
      <c r="B3027" t="s">
        <v>11391</v>
      </c>
      <c r="C3027" t="str">
        <f>"9783030929008"</f>
        <v>9783030929008</v>
      </c>
      <c r="D3027" t="str">
        <f>"9783030929015"</f>
        <v>9783030929015</v>
      </c>
      <c r="E3027" t="s">
        <v>2905</v>
      </c>
      <c r="F3027" s="1">
        <v>44727</v>
      </c>
      <c r="G3027" t="s">
        <v>11392</v>
      </c>
      <c r="H3027" t="s">
        <v>239</v>
      </c>
      <c r="I3027" t="s">
        <v>5800</v>
      </c>
      <c r="L3027" t="s">
        <v>20</v>
      </c>
      <c r="M3027" t="s">
        <v>11393</v>
      </c>
    </row>
    <row r="3028" spans="1:13" x14ac:dyDescent="0.25">
      <c r="A3028">
        <v>6961414</v>
      </c>
      <c r="B3028" t="s">
        <v>11394</v>
      </c>
      <c r="C3028" t="str">
        <f>"9783030974046"</f>
        <v>9783030974046</v>
      </c>
      <c r="D3028" t="str">
        <f>"9783030974053"</f>
        <v>9783030974053</v>
      </c>
      <c r="E3028" t="s">
        <v>2905</v>
      </c>
      <c r="F3028" s="1">
        <v>44705</v>
      </c>
      <c r="G3028" t="s">
        <v>11395</v>
      </c>
      <c r="H3028" t="s">
        <v>64</v>
      </c>
      <c r="I3028" t="s">
        <v>8735</v>
      </c>
      <c r="J3028">
        <v>363.50943912000002</v>
      </c>
      <c r="L3028" t="s">
        <v>20</v>
      </c>
      <c r="M3028" t="s">
        <v>11396</v>
      </c>
    </row>
    <row r="3029" spans="1:13" x14ac:dyDescent="0.25">
      <c r="A3029">
        <v>6961667</v>
      </c>
      <c r="B3029" t="s">
        <v>11397</v>
      </c>
      <c r="C3029" t="str">
        <f>"9783030930141"</f>
        <v>9783030930141</v>
      </c>
      <c r="D3029" t="str">
        <f>"9783030930158"</f>
        <v>9783030930158</v>
      </c>
      <c r="E3029" t="s">
        <v>2905</v>
      </c>
      <c r="F3029" s="1">
        <v>44714</v>
      </c>
      <c r="G3029" t="s">
        <v>11398</v>
      </c>
      <c r="H3029" t="s">
        <v>1178</v>
      </c>
      <c r="I3029" t="s">
        <v>10424</v>
      </c>
      <c r="L3029" t="s">
        <v>20</v>
      </c>
      <c r="M3029" t="s">
        <v>11399</v>
      </c>
    </row>
    <row r="3030" spans="1:13" x14ac:dyDescent="0.25">
      <c r="A3030">
        <v>6961691</v>
      </c>
      <c r="B3030" t="s">
        <v>11400</v>
      </c>
      <c r="C3030" t="str">
        <f>"9783030942724"</f>
        <v>9783030942724</v>
      </c>
      <c r="D3030" t="str">
        <f>"9783030942731"</f>
        <v>9783030942731</v>
      </c>
      <c r="E3030" t="s">
        <v>2905</v>
      </c>
      <c r="F3030" s="1">
        <v>44675</v>
      </c>
      <c r="G3030" t="s">
        <v>11401</v>
      </c>
      <c r="H3030" t="s">
        <v>1753</v>
      </c>
      <c r="I3030" t="s">
        <v>5116</v>
      </c>
      <c r="L3030" t="s">
        <v>20</v>
      </c>
      <c r="M3030" t="s">
        <v>11402</v>
      </c>
    </row>
    <row r="3031" spans="1:13" x14ac:dyDescent="0.25">
      <c r="A3031">
        <v>6962836</v>
      </c>
      <c r="B3031" t="s">
        <v>11403</v>
      </c>
      <c r="C3031" t="str">
        <f>"9783030865993"</f>
        <v>9783030865993</v>
      </c>
      <c r="D3031" t="str">
        <f>"9783030866006"</f>
        <v>9783030866006</v>
      </c>
      <c r="E3031" t="s">
        <v>2905</v>
      </c>
      <c r="F3031" s="1">
        <v>44700</v>
      </c>
      <c r="G3031" t="s">
        <v>11404</v>
      </c>
      <c r="H3031" t="s">
        <v>4180</v>
      </c>
      <c r="I3031" t="s">
        <v>5629</v>
      </c>
      <c r="L3031" t="s">
        <v>20</v>
      </c>
      <c r="M3031" t="s">
        <v>11405</v>
      </c>
    </row>
    <row r="3032" spans="1:13" x14ac:dyDescent="0.25">
      <c r="A3032">
        <v>6962848</v>
      </c>
      <c r="B3032" t="s">
        <v>11406</v>
      </c>
      <c r="C3032" t="str">
        <f>"9789811647161"</f>
        <v>9789811647161</v>
      </c>
      <c r="D3032" t="str">
        <f>"9789811647178"</f>
        <v>9789811647178</v>
      </c>
      <c r="E3032" t="s">
        <v>4099</v>
      </c>
      <c r="F3032" s="1">
        <v>44597</v>
      </c>
      <c r="G3032" t="s">
        <v>11407</v>
      </c>
      <c r="H3032" t="s">
        <v>30</v>
      </c>
      <c r="I3032" t="s">
        <v>5559</v>
      </c>
      <c r="L3032" t="s">
        <v>20</v>
      </c>
      <c r="M3032" t="s">
        <v>11408</v>
      </c>
    </row>
    <row r="3033" spans="1:13" x14ac:dyDescent="0.25">
      <c r="A3033">
        <v>6962853</v>
      </c>
      <c r="B3033" t="s">
        <v>11409</v>
      </c>
      <c r="C3033" t="str">
        <f>"9783030886813"</f>
        <v>9783030886813</v>
      </c>
      <c r="D3033" t="str">
        <f>"9783030886820"</f>
        <v>9783030886820</v>
      </c>
      <c r="E3033" t="s">
        <v>2905</v>
      </c>
      <c r="F3033" s="1">
        <v>44716</v>
      </c>
      <c r="G3033" t="s">
        <v>11410</v>
      </c>
      <c r="H3033" t="s">
        <v>4915</v>
      </c>
      <c r="I3033" t="s">
        <v>7395</v>
      </c>
      <c r="L3033" t="s">
        <v>20</v>
      </c>
      <c r="M3033" t="s">
        <v>11411</v>
      </c>
    </row>
    <row r="3034" spans="1:13" x14ac:dyDescent="0.25">
      <c r="A3034">
        <v>6963471</v>
      </c>
      <c r="B3034" t="s">
        <v>11412</v>
      </c>
      <c r="C3034" t="str">
        <f>"9783030978365"</f>
        <v>9783030978365</v>
      </c>
      <c r="D3034" t="str">
        <f>"9783030978372"</f>
        <v>9783030978372</v>
      </c>
      <c r="E3034" t="s">
        <v>2905</v>
      </c>
      <c r="F3034" s="1">
        <v>44678</v>
      </c>
      <c r="G3034" t="s">
        <v>11413</v>
      </c>
      <c r="H3034" t="s">
        <v>1446</v>
      </c>
      <c r="I3034" t="s">
        <v>11414</v>
      </c>
      <c r="J3034">
        <v>378.101</v>
      </c>
      <c r="L3034" t="s">
        <v>20</v>
      </c>
      <c r="M3034" t="s">
        <v>11415</v>
      </c>
    </row>
    <row r="3035" spans="1:13" x14ac:dyDescent="0.25">
      <c r="A3035">
        <v>6963491</v>
      </c>
      <c r="B3035" t="s">
        <v>11416</v>
      </c>
      <c r="C3035" t="str">
        <f>"9783030975555"</f>
        <v>9783030975555</v>
      </c>
      <c r="D3035" t="str">
        <f>"9783030975562"</f>
        <v>9783030975562</v>
      </c>
      <c r="E3035" t="s">
        <v>2905</v>
      </c>
      <c r="F3035" s="1">
        <v>44678</v>
      </c>
      <c r="G3035" t="s">
        <v>11417</v>
      </c>
      <c r="H3035" t="s">
        <v>806</v>
      </c>
      <c r="I3035" t="s">
        <v>11418</v>
      </c>
      <c r="L3035" t="s">
        <v>20</v>
      </c>
      <c r="M3035" t="s">
        <v>11419</v>
      </c>
    </row>
    <row r="3036" spans="1:13" x14ac:dyDescent="0.25">
      <c r="A3036">
        <v>6965025</v>
      </c>
      <c r="B3036" t="s">
        <v>11420</v>
      </c>
      <c r="C3036" t="str">
        <f>"9783658373917"</f>
        <v>9783658373917</v>
      </c>
      <c r="D3036" t="str">
        <f>"9783658373924"</f>
        <v>9783658373924</v>
      </c>
      <c r="E3036" t="s">
        <v>4472</v>
      </c>
      <c r="F3036" s="1">
        <v>44710</v>
      </c>
      <c r="G3036" t="s">
        <v>11421</v>
      </c>
      <c r="H3036" t="s">
        <v>64</v>
      </c>
      <c r="I3036" t="s">
        <v>11422</v>
      </c>
      <c r="L3036" t="s">
        <v>291</v>
      </c>
      <c r="M3036" t="s">
        <v>11423</v>
      </c>
    </row>
    <row r="3037" spans="1:13" x14ac:dyDescent="0.25">
      <c r="A3037">
        <v>6965072</v>
      </c>
      <c r="B3037" t="s">
        <v>11424</v>
      </c>
      <c r="C3037" t="str">
        <f>"9783658365653"</f>
        <v>9783658365653</v>
      </c>
      <c r="D3037" t="str">
        <f>"9783658365660"</f>
        <v>9783658365660</v>
      </c>
      <c r="E3037" t="s">
        <v>4472</v>
      </c>
      <c r="F3037" s="1">
        <v>44716</v>
      </c>
      <c r="G3037" t="s">
        <v>11425</v>
      </c>
      <c r="H3037" t="s">
        <v>64</v>
      </c>
      <c r="I3037" t="s">
        <v>5120</v>
      </c>
      <c r="L3037" t="s">
        <v>291</v>
      </c>
      <c r="M3037" t="s">
        <v>11426</v>
      </c>
    </row>
    <row r="3038" spans="1:13" x14ac:dyDescent="0.25">
      <c r="A3038">
        <v>6965093</v>
      </c>
      <c r="B3038" t="s">
        <v>11427</v>
      </c>
      <c r="C3038" t="str">
        <f>"9783030992552"</f>
        <v>9783030992552</v>
      </c>
      <c r="D3038" t="str">
        <f>"9783030992569"</f>
        <v>9783030992569</v>
      </c>
      <c r="E3038" t="s">
        <v>2905</v>
      </c>
      <c r="F3038" s="1">
        <v>44679</v>
      </c>
      <c r="G3038" t="s">
        <v>11428</v>
      </c>
      <c r="H3038" t="s">
        <v>30</v>
      </c>
      <c r="I3038" t="s">
        <v>4632</v>
      </c>
      <c r="J3038">
        <v>325.47000000000003</v>
      </c>
      <c r="L3038" t="s">
        <v>20</v>
      </c>
      <c r="M3038" t="s">
        <v>11429</v>
      </c>
    </row>
    <row r="3039" spans="1:13" x14ac:dyDescent="0.25">
      <c r="A3039">
        <v>6965112</v>
      </c>
      <c r="B3039" t="s">
        <v>11430</v>
      </c>
      <c r="C3039" t="str">
        <f>"9783030783068"</f>
        <v>9783030783068</v>
      </c>
      <c r="D3039" t="str">
        <f>"9783030783075"</f>
        <v>9783030783075</v>
      </c>
      <c r="E3039" t="s">
        <v>2905</v>
      </c>
      <c r="F3039" s="1">
        <v>44716</v>
      </c>
      <c r="G3039" t="s">
        <v>11431</v>
      </c>
      <c r="H3039" t="s">
        <v>712</v>
      </c>
      <c r="I3039" t="s">
        <v>8136</v>
      </c>
      <c r="L3039" t="s">
        <v>20</v>
      </c>
      <c r="M3039" t="s">
        <v>11432</v>
      </c>
    </row>
    <row r="3040" spans="1:13" x14ac:dyDescent="0.25">
      <c r="A3040">
        <v>6966394</v>
      </c>
      <c r="B3040" t="s">
        <v>11433</v>
      </c>
      <c r="C3040" t="str">
        <f>"9783030945893"</f>
        <v>9783030945893</v>
      </c>
      <c r="D3040" t="str">
        <f>"9783030945909"</f>
        <v>9783030945909</v>
      </c>
      <c r="E3040" t="s">
        <v>2905</v>
      </c>
      <c r="F3040" s="1">
        <v>44721</v>
      </c>
      <c r="G3040" t="s">
        <v>11434</v>
      </c>
      <c r="H3040" t="s">
        <v>5453</v>
      </c>
      <c r="I3040" t="s">
        <v>5454</v>
      </c>
      <c r="L3040" t="s">
        <v>20</v>
      </c>
      <c r="M3040" t="s">
        <v>11435</v>
      </c>
    </row>
    <row r="3041" spans="1:13" x14ac:dyDescent="0.25">
      <c r="A3041">
        <v>6970721</v>
      </c>
      <c r="B3041" t="s">
        <v>11436</v>
      </c>
      <c r="C3041" t="str">
        <f>"9783030944025"</f>
        <v>9783030944025</v>
      </c>
      <c r="D3041" t="str">
        <f>"9783030944032"</f>
        <v>9783030944032</v>
      </c>
      <c r="E3041" t="s">
        <v>2905</v>
      </c>
      <c r="F3041" s="1">
        <v>44685</v>
      </c>
      <c r="G3041" t="s">
        <v>11437</v>
      </c>
      <c r="H3041" t="s">
        <v>310</v>
      </c>
      <c r="I3041" t="s">
        <v>11438</v>
      </c>
      <c r="J3041">
        <v>212.1</v>
      </c>
      <c r="L3041" t="s">
        <v>20</v>
      </c>
      <c r="M3041" t="s">
        <v>11439</v>
      </c>
    </row>
    <row r="3042" spans="1:13" x14ac:dyDescent="0.25">
      <c r="A3042">
        <v>6975979</v>
      </c>
      <c r="B3042" t="s">
        <v>11440</v>
      </c>
      <c r="C3042" t="str">
        <f>"9783658375119"</f>
        <v>9783658375119</v>
      </c>
      <c r="D3042" t="str">
        <f>"9783658375126"</f>
        <v>9783658375126</v>
      </c>
      <c r="E3042" t="s">
        <v>4472</v>
      </c>
      <c r="F3042" s="1">
        <v>44685</v>
      </c>
      <c r="G3042" t="s">
        <v>11441</v>
      </c>
      <c r="H3042" t="s">
        <v>712</v>
      </c>
      <c r="I3042" t="s">
        <v>6117</v>
      </c>
      <c r="L3042" t="s">
        <v>291</v>
      </c>
      <c r="M3042" t="s">
        <v>11442</v>
      </c>
    </row>
    <row r="3043" spans="1:13" x14ac:dyDescent="0.25">
      <c r="A3043">
        <v>6975987</v>
      </c>
      <c r="B3043" t="s">
        <v>11443</v>
      </c>
      <c r="C3043" t="str">
        <f>"9783030952655"</f>
        <v>9783030952655</v>
      </c>
      <c r="D3043" t="str">
        <f>"9783030952662"</f>
        <v>9783030952662</v>
      </c>
      <c r="E3043" t="s">
        <v>2905</v>
      </c>
      <c r="F3043" s="1">
        <v>44685</v>
      </c>
      <c r="G3043" t="s">
        <v>11444</v>
      </c>
      <c r="H3043" t="s">
        <v>363</v>
      </c>
      <c r="I3043" t="s">
        <v>4486</v>
      </c>
      <c r="L3043" t="s">
        <v>20</v>
      </c>
      <c r="M3043" t="s">
        <v>11445</v>
      </c>
    </row>
    <row r="3044" spans="1:13" x14ac:dyDescent="0.25">
      <c r="A3044">
        <v>6976014</v>
      </c>
      <c r="B3044" t="s">
        <v>11446</v>
      </c>
      <c r="C3044" t="str">
        <f>"9783658374372"</f>
        <v>9783658374372</v>
      </c>
      <c r="D3044" t="str">
        <f>"9783658374389"</f>
        <v>9783658374389</v>
      </c>
      <c r="E3044" t="s">
        <v>4472</v>
      </c>
      <c r="F3044" s="1">
        <v>44685</v>
      </c>
      <c r="G3044" t="s">
        <v>11447</v>
      </c>
      <c r="H3044" t="s">
        <v>1753</v>
      </c>
      <c r="I3044" t="s">
        <v>6435</v>
      </c>
      <c r="L3044" t="s">
        <v>291</v>
      </c>
      <c r="M3044" t="s">
        <v>11448</v>
      </c>
    </row>
    <row r="3045" spans="1:13" x14ac:dyDescent="0.25">
      <c r="A3045">
        <v>6976052</v>
      </c>
      <c r="B3045" t="s">
        <v>11449</v>
      </c>
      <c r="C3045" t="str">
        <f>"9783030817350"</f>
        <v>9783030817350</v>
      </c>
      <c r="D3045" t="str">
        <f>"9783030817367"</f>
        <v>9783030817367</v>
      </c>
      <c r="E3045" t="s">
        <v>2905</v>
      </c>
      <c r="F3045" s="1">
        <v>44685</v>
      </c>
      <c r="G3045" t="s">
        <v>11450</v>
      </c>
      <c r="H3045" t="s">
        <v>266</v>
      </c>
      <c r="I3045" t="s">
        <v>11451</v>
      </c>
      <c r="L3045" t="s">
        <v>20</v>
      </c>
      <c r="M3045" t="s">
        <v>11452</v>
      </c>
    </row>
    <row r="3046" spans="1:13" x14ac:dyDescent="0.25">
      <c r="A3046">
        <v>6976056</v>
      </c>
      <c r="B3046" t="s">
        <v>11453</v>
      </c>
      <c r="C3046" t="str">
        <f>"9783030984663"</f>
        <v>9783030984663</v>
      </c>
      <c r="D3046" t="str">
        <f>"9783030984670"</f>
        <v>9783030984670</v>
      </c>
      <c r="E3046" t="s">
        <v>2905</v>
      </c>
      <c r="F3046" s="1">
        <v>44712</v>
      </c>
      <c r="G3046" t="s">
        <v>11454</v>
      </c>
      <c r="H3046" t="s">
        <v>712</v>
      </c>
      <c r="I3046" t="s">
        <v>11455</v>
      </c>
      <c r="L3046" t="s">
        <v>20</v>
      </c>
      <c r="M3046" t="s">
        <v>11456</v>
      </c>
    </row>
    <row r="3047" spans="1:13" x14ac:dyDescent="0.25">
      <c r="A3047">
        <v>6976068</v>
      </c>
      <c r="B3047" t="s">
        <v>11457</v>
      </c>
      <c r="C3047" t="str">
        <f>"9783030972424"</f>
        <v>9783030972424</v>
      </c>
      <c r="D3047" t="str">
        <f>"9783030972431"</f>
        <v>9783030972431</v>
      </c>
      <c r="E3047" t="s">
        <v>2905</v>
      </c>
      <c r="F3047" s="1">
        <v>44685</v>
      </c>
      <c r="G3047" t="s">
        <v>11458</v>
      </c>
      <c r="H3047" t="s">
        <v>64</v>
      </c>
      <c r="I3047" t="s">
        <v>8735</v>
      </c>
      <c r="J3047">
        <v>362.6</v>
      </c>
      <c r="L3047" t="s">
        <v>20</v>
      </c>
      <c r="M3047" t="s">
        <v>11459</v>
      </c>
    </row>
    <row r="3048" spans="1:13" x14ac:dyDescent="0.25">
      <c r="A3048">
        <v>6976072</v>
      </c>
      <c r="B3048" t="s">
        <v>11460</v>
      </c>
      <c r="C3048" t="str">
        <f>"9783658372552"</f>
        <v>9783658372552</v>
      </c>
      <c r="D3048" t="str">
        <f>"9783658372569"</f>
        <v>9783658372569</v>
      </c>
      <c r="E3048" t="s">
        <v>4472</v>
      </c>
      <c r="F3048" s="1">
        <v>44685</v>
      </c>
      <c r="G3048" t="s">
        <v>11461</v>
      </c>
      <c r="H3048" t="s">
        <v>64</v>
      </c>
      <c r="I3048" t="s">
        <v>7309</v>
      </c>
      <c r="L3048" t="s">
        <v>291</v>
      </c>
      <c r="M3048" t="s">
        <v>11462</v>
      </c>
    </row>
    <row r="3049" spans="1:13" x14ac:dyDescent="0.25">
      <c r="A3049">
        <v>6976081</v>
      </c>
      <c r="B3049" t="s">
        <v>11463</v>
      </c>
      <c r="C3049" t="str">
        <f>"9783658342920"</f>
        <v>9783658342920</v>
      </c>
      <c r="D3049" t="str">
        <f>"9783658342937"</f>
        <v>9783658342937</v>
      </c>
      <c r="E3049" t="s">
        <v>4472</v>
      </c>
      <c r="F3049" s="1">
        <v>44685</v>
      </c>
      <c r="G3049" t="s">
        <v>11464</v>
      </c>
      <c r="H3049" t="s">
        <v>5623</v>
      </c>
      <c r="I3049" t="s">
        <v>5419</v>
      </c>
      <c r="L3049" t="s">
        <v>20</v>
      </c>
      <c r="M3049" t="s">
        <v>11465</v>
      </c>
    </row>
    <row r="3050" spans="1:13" x14ac:dyDescent="0.25">
      <c r="A3050">
        <v>6976277</v>
      </c>
      <c r="B3050" t="s">
        <v>11466</v>
      </c>
      <c r="C3050" t="str">
        <f>"9783030928797"</f>
        <v>9783030928797</v>
      </c>
      <c r="D3050" t="str">
        <f>"9783030928803"</f>
        <v>9783030928803</v>
      </c>
      <c r="E3050" t="s">
        <v>2905</v>
      </c>
      <c r="F3050" s="1">
        <v>44687</v>
      </c>
      <c r="G3050" t="s">
        <v>11467</v>
      </c>
      <c r="H3050" t="s">
        <v>266</v>
      </c>
      <c r="I3050" t="s">
        <v>5672</v>
      </c>
      <c r="L3050" t="s">
        <v>20</v>
      </c>
      <c r="M3050" t="s">
        <v>11468</v>
      </c>
    </row>
    <row r="3051" spans="1:13" x14ac:dyDescent="0.25">
      <c r="A3051">
        <v>6977210</v>
      </c>
      <c r="B3051" t="s">
        <v>11469</v>
      </c>
      <c r="C3051" t="str">
        <f>"9781800348493"</f>
        <v>9781800348493</v>
      </c>
      <c r="D3051" t="str">
        <f>"9781800345560"</f>
        <v>9781800345560</v>
      </c>
      <c r="E3051" t="s">
        <v>4290</v>
      </c>
      <c r="F3051" s="1">
        <v>44713</v>
      </c>
      <c r="G3051" t="s">
        <v>11470</v>
      </c>
      <c r="H3051" t="s">
        <v>64</v>
      </c>
      <c r="J3051">
        <v>306.44</v>
      </c>
      <c r="L3051" t="s">
        <v>20</v>
      </c>
      <c r="M3051" t="s">
        <v>11471</v>
      </c>
    </row>
    <row r="3052" spans="1:13" x14ac:dyDescent="0.25">
      <c r="A3052">
        <v>6977218</v>
      </c>
      <c r="B3052" t="s">
        <v>11472</v>
      </c>
      <c r="C3052" t="str">
        <f>"9781846311147"</f>
        <v>9781846311147</v>
      </c>
      <c r="D3052" t="str">
        <f>"9781846313875"</f>
        <v>9781846313875</v>
      </c>
      <c r="E3052" t="s">
        <v>4290</v>
      </c>
      <c r="F3052" s="1">
        <v>39417</v>
      </c>
      <c r="G3052" t="s">
        <v>11473</v>
      </c>
      <c r="H3052" t="s">
        <v>70</v>
      </c>
      <c r="I3052" t="s">
        <v>11474</v>
      </c>
      <c r="J3052">
        <v>843.91200000000003</v>
      </c>
      <c r="L3052" t="s">
        <v>20</v>
      </c>
      <c r="M3052" t="s">
        <v>11475</v>
      </c>
    </row>
    <row r="3053" spans="1:13" x14ac:dyDescent="0.25">
      <c r="A3053">
        <v>6977223</v>
      </c>
      <c r="B3053" t="s">
        <v>11476</v>
      </c>
      <c r="C3053" t="str">
        <f>"9781789621839"</f>
        <v>9781789621839</v>
      </c>
      <c r="D3053" t="str">
        <f>"9781789627633"</f>
        <v>9781789627633</v>
      </c>
      <c r="E3053" t="s">
        <v>4290</v>
      </c>
      <c r="F3053" s="1">
        <v>44013</v>
      </c>
      <c r="G3053" t="s">
        <v>11477</v>
      </c>
      <c r="H3053" t="s">
        <v>70</v>
      </c>
      <c r="J3053">
        <v>823.91200000000003</v>
      </c>
      <c r="L3053" t="s">
        <v>20</v>
      </c>
      <c r="M3053" t="s">
        <v>11478</v>
      </c>
    </row>
    <row r="3054" spans="1:13" x14ac:dyDescent="0.25">
      <c r="A3054">
        <v>6977289</v>
      </c>
      <c r="B3054" t="s">
        <v>11479</v>
      </c>
      <c r="C3054" t="str">
        <f>"9783658369606"</f>
        <v>9783658369606</v>
      </c>
      <c r="D3054" t="str">
        <f>"9783658369613"</f>
        <v>9783658369613</v>
      </c>
      <c r="E3054" t="s">
        <v>4472</v>
      </c>
      <c r="F3054" s="1">
        <v>44723</v>
      </c>
      <c r="G3054" t="s">
        <v>11480</v>
      </c>
      <c r="H3054" t="s">
        <v>3829</v>
      </c>
      <c r="I3054" t="s">
        <v>11481</v>
      </c>
      <c r="L3054" t="s">
        <v>291</v>
      </c>
      <c r="M3054" t="s">
        <v>11482</v>
      </c>
    </row>
    <row r="3055" spans="1:13" x14ac:dyDescent="0.25">
      <c r="A3055">
        <v>6977335</v>
      </c>
      <c r="B3055" t="s">
        <v>11483</v>
      </c>
      <c r="C3055" t="str">
        <f>"9783030965877"</f>
        <v>9783030965877</v>
      </c>
      <c r="D3055" t="str">
        <f>"9783030965884"</f>
        <v>9783030965884</v>
      </c>
      <c r="E3055" t="s">
        <v>2905</v>
      </c>
      <c r="F3055" s="1">
        <v>44735</v>
      </c>
      <c r="G3055" t="s">
        <v>11484</v>
      </c>
      <c r="H3055" t="s">
        <v>3047</v>
      </c>
      <c r="I3055" t="s">
        <v>11485</v>
      </c>
      <c r="J3055">
        <v>271.53095409029999</v>
      </c>
      <c r="L3055" t="s">
        <v>20</v>
      </c>
      <c r="M3055" t="s">
        <v>11486</v>
      </c>
    </row>
    <row r="3056" spans="1:13" x14ac:dyDescent="0.25">
      <c r="A3056">
        <v>6977337</v>
      </c>
      <c r="B3056" t="s">
        <v>11487</v>
      </c>
      <c r="C3056" t="str">
        <f>"9783030684099"</f>
        <v>9783030684099</v>
      </c>
      <c r="D3056" t="str">
        <f>"9783030684105"</f>
        <v>9783030684105</v>
      </c>
      <c r="E3056" t="s">
        <v>2905</v>
      </c>
      <c r="F3056" s="1">
        <v>44717</v>
      </c>
      <c r="G3056" t="s">
        <v>11488</v>
      </c>
      <c r="H3056" t="s">
        <v>1753</v>
      </c>
      <c r="I3056" t="s">
        <v>3731</v>
      </c>
      <c r="L3056" t="s">
        <v>20</v>
      </c>
      <c r="M3056" t="s">
        <v>11489</v>
      </c>
    </row>
    <row r="3057" spans="1:13" x14ac:dyDescent="0.25">
      <c r="A3057">
        <v>6977378</v>
      </c>
      <c r="B3057" t="s">
        <v>11490</v>
      </c>
      <c r="C3057" t="str">
        <f>"9783030948818"</f>
        <v>9783030948818</v>
      </c>
      <c r="D3057" t="str">
        <f>"9783030948825"</f>
        <v>9783030948825</v>
      </c>
      <c r="E3057" t="s">
        <v>2905</v>
      </c>
      <c r="F3057" s="1">
        <v>44685</v>
      </c>
      <c r="G3057" t="s">
        <v>11491</v>
      </c>
      <c r="H3057" t="s">
        <v>11492</v>
      </c>
      <c r="I3057" t="s">
        <v>5033</v>
      </c>
      <c r="J3057">
        <v>370.11500000000001</v>
      </c>
      <c r="L3057" t="s">
        <v>20</v>
      </c>
      <c r="M3057" t="s">
        <v>11493</v>
      </c>
    </row>
    <row r="3058" spans="1:13" x14ac:dyDescent="0.25">
      <c r="A3058">
        <v>6977385</v>
      </c>
      <c r="B3058" t="s">
        <v>11494</v>
      </c>
      <c r="C3058" t="str">
        <f>"9783030973629"</f>
        <v>9783030973629</v>
      </c>
      <c r="D3058" t="str">
        <f>"9783030973636"</f>
        <v>9783030973636</v>
      </c>
      <c r="E3058" t="s">
        <v>2905</v>
      </c>
      <c r="F3058" s="1">
        <v>44717</v>
      </c>
      <c r="G3058" t="s">
        <v>11383</v>
      </c>
      <c r="H3058" t="s">
        <v>310</v>
      </c>
      <c r="I3058" t="s">
        <v>10171</v>
      </c>
      <c r="L3058" t="s">
        <v>20</v>
      </c>
      <c r="M3058" t="s">
        <v>11495</v>
      </c>
    </row>
    <row r="3059" spans="1:13" x14ac:dyDescent="0.25">
      <c r="A3059">
        <v>6977401</v>
      </c>
      <c r="B3059" t="s">
        <v>11496</v>
      </c>
      <c r="C3059" t="str">
        <f>"9783030856786"</f>
        <v>9783030856786</v>
      </c>
      <c r="D3059" t="str">
        <f>"9783030856793"</f>
        <v>9783030856793</v>
      </c>
      <c r="E3059" t="s">
        <v>2905</v>
      </c>
      <c r="F3059" s="1">
        <v>44688</v>
      </c>
      <c r="G3059" t="s">
        <v>11497</v>
      </c>
      <c r="H3059" t="s">
        <v>24</v>
      </c>
      <c r="I3059" t="s">
        <v>4609</v>
      </c>
      <c r="J3059">
        <v>304.62095900000003</v>
      </c>
      <c r="L3059" t="s">
        <v>20</v>
      </c>
      <c r="M3059" t="s">
        <v>11498</v>
      </c>
    </row>
    <row r="3060" spans="1:13" x14ac:dyDescent="0.25">
      <c r="A3060">
        <v>6977947</v>
      </c>
      <c r="B3060" t="s">
        <v>11499</v>
      </c>
      <c r="C3060" t="str">
        <f>"9783658363529"</f>
        <v>9783658363529</v>
      </c>
      <c r="D3060" t="str">
        <f>"9783658363536"</f>
        <v>9783658363536</v>
      </c>
      <c r="E3060" t="s">
        <v>4472</v>
      </c>
      <c r="F3060" s="1">
        <v>44728</v>
      </c>
      <c r="G3060" t="s">
        <v>11500</v>
      </c>
      <c r="H3060" t="s">
        <v>363</v>
      </c>
      <c r="I3060" t="s">
        <v>6211</v>
      </c>
      <c r="L3060" t="s">
        <v>291</v>
      </c>
      <c r="M3060" t="s">
        <v>11501</v>
      </c>
    </row>
    <row r="3061" spans="1:13" x14ac:dyDescent="0.25">
      <c r="A3061">
        <v>6977965</v>
      </c>
      <c r="B3061" t="s">
        <v>11502</v>
      </c>
      <c r="C3061" t="str">
        <f>"9781800349261"</f>
        <v>9781800349261</v>
      </c>
      <c r="D3061" t="str">
        <f>"9781800344808"</f>
        <v>9781800344808</v>
      </c>
      <c r="E3061" t="s">
        <v>4290</v>
      </c>
      <c r="F3061" s="1">
        <v>44531</v>
      </c>
      <c r="G3061" t="s">
        <v>11503</v>
      </c>
      <c r="H3061" t="s">
        <v>30</v>
      </c>
      <c r="J3061">
        <v>323.49</v>
      </c>
      <c r="L3061" t="s">
        <v>20</v>
      </c>
      <c r="M3061" t="s">
        <v>11504</v>
      </c>
    </row>
    <row r="3062" spans="1:13" x14ac:dyDescent="0.25">
      <c r="A3062">
        <v>6977971</v>
      </c>
      <c r="B3062" t="s">
        <v>11505</v>
      </c>
      <c r="C3062" t="str">
        <f>"9781786941619"</f>
        <v>9781786941619</v>
      </c>
      <c r="D3062" t="str">
        <f>"9781786949547"</f>
        <v>9781786949547</v>
      </c>
      <c r="E3062" t="s">
        <v>4290</v>
      </c>
      <c r="F3062" s="1">
        <v>43500</v>
      </c>
      <c r="G3062" t="s">
        <v>11506</v>
      </c>
      <c r="H3062" t="s">
        <v>30</v>
      </c>
      <c r="J3062">
        <v>320.15097294090299</v>
      </c>
      <c r="L3062" t="s">
        <v>20</v>
      </c>
      <c r="M3062" t="s">
        <v>11507</v>
      </c>
    </row>
    <row r="3063" spans="1:13" x14ac:dyDescent="0.25">
      <c r="A3063">
        <v>6978014</v>
      </c>
      <c r="B3063" t="s">
        <v>11508</v>
      </c>
      <c r="C3063" t="str">
        <f>"9783031051630"</f>
        <v>9783031051630</v>
      </c>
      <c r="D3063" t="str">
        <f>"9783031051647"</f>
        <v>9783031051647</v>
      </c>
      <c r="E3063" t="s">
        <v>2905</v>
      </c>
      <c r="F3063" s="1">
        <v>44721</v>
      </c>
      <c r="G3063" t="s">
        <v>11509</v>
      </c>
      <c r="H3063" t="s">
        <v>1178</v>
      </c>
      <c r="I3063" t="s">
        <v>4278</v>
      </c>
      <c r="L3063" t="s">
        <v>20</v>
      </c>
      <c r="M3063" t="s">
        <v>11510</v>
      </c>
    </row>
    <row r="3064" spans="1:13" x14ac:dyDescent="0.25">
      <c r="A3064">
        <v>6978112</v>
      </c>
      <c r="B3064" t="s">
        <v>11511</v>
      </c>
      <c r="C3064" t="str">
        <f>""</f>
        <v/>
      </c>
      <c r="D3064" t="str">
        <f>"9781478092339"</f>
        <v>9781478092339</v>
      </c>
      <c r="E3064" t="s">
        <v>3113</v>
      </c>
      <c r="F3064" s="1">
        <v>44512</v>
      </c>
      <c r="G3064" t="s">
        <v>11512</v>
      </c>
      <c r="H3064" t="s">
        <v>246</v>
      </c>
      <c r="J3064">
        <v>791.43</v>
      </c>
      <c r="L3064" t="s">
        <v>20</v>
      </c>
      <c r="M3064" t="s">
        <v>11513</v>
      </c>
    </row>
    <row r="3065" spans="1:13" x14ac:dyDescent="0.25">
      <c r="A3065">
        <v>6978159</v>
      </c>
      <c r="B3065" t="s">
        <v>11514</v>
      </c>
      <c r="C3065" t="str">
        <f>"9781789062588"</f>
        <v>9781789062588</v>
      </c>
      <c r="D3065" t="str">
        <f>"9781789062595"</f>
        <v>9781789062595</v>
      </c>
      <c r="E3065" t="s">
        <v>2237</v>
      </c>
      <c r="F3065" s="1">
        <v>44484</v>
      </c>
      <c r="G3065" t="s">
        <v>11515</v>
      </c>
      <c r="H3065" t="s">
        <v>41</v>
      </c>
      <c r="J3065">
        <v>338.79091724</v>
      </c>
      <c r="L3065" t="s">
        <v>20</v>
      </c>
      <c r="M3065" t="s">
        <v>11516</v>
      </c>
    </row>
    <row r="3066" spans="1:13" x14ac:dyDescent="0.25">
      <c r="A3066">
        <v>6978160</v>
      </c>
      <c r="B3066" t="s">
        <v>11517</v>
      </c>
      <c r="C3066" t="str">
        <f>""</f>
        <v/>
      </c>
      <c r="D3066" t="str">
        <f>"9788490489857"</f>
        <v>9788490489857</v>
      </c>
      <c r="E3066" t="s">
        <v>2237</v>
      </c>
      <c r="F3066" s="1">
        <v>44301</v>
      </c>
      <c r="G3066" t="s">
        <v>11518</v>
      </c>
      <c r="H3066" t="s">
        <v>11519</v>
      </c>
      <c r="L3066" t="s">
        <v>20</v>
      </c>
      <c r="M3066" t="s">
        <v>11520</v>
      </c>
    </row>
    <row r="3067" spans="1:13" x14ac:dyDescent="0.25">
      <c r="A3067">
        <v>6978163</v>
      </c>
      <c r="B3067" t="s">
        <v>11521</v>
      </c>
      <c r="C3067" t="str">
        <f>"9780980361667"</f>
        <v>9780980361667</v>
      </c>
      <c r="D3067" t="str">
        <f>"9780980361674"</f>
        <v>9780980361674</v>
      </c>
      <c r="E3067" t="s">
        <v>11522</v>
      </c>
      <c r="F3067" s="1">
        <v>39630</v>
      </c>
      <c r="G3067" t="s">
        <v>11523</v>
      </c>
      <c r="H3067" t="s">
        <v>139</v>
      </c>
      <c r="I3067" t="s">
        <v>11524</v>
      </c>
      <c r="J3067">
        <v>941.00720000000001</v>
      </c>
      <c r="L3067" t="s">
        <v>20</v>
      </c>
      <c r="M3067" t="s">
        <v>11525</v>
      </c>
    </row>
    <row r="3068" spans="1:13" x14ac:dyDescent="0.25">
      <c r="A3068">
        <v>6978164</v>
      </c>
      <c r="B3068" t="s">
        <v>11526</v>
      </c>
      <c r="C3068" t="str">
        <f>"9780980361681"</f>
        <v>9780980361681</v>
      </c>
      <c r="D3068" t="str">
        <f>"9780980361698"</f>
        <v>9780980361698</v>
      </c>
      <c r="E3068" t="s">
        <v>11522</v>
      </c>
      <c r="F3068" s="1">
        <v>40391</v>
      </c>
      <c r="G3068" t="s">
        <v>11527</v>
      </c>
      <c r="H3068" t="s">
        <v>64</v>
      </c>
      <c r="J3068">
        <v>304.84509400000002</v>
      </c>
      <c r="L3068" t="s">
        <v>20</v>
      </c>
      <c r="M3068" t="s">
        <v>11528</v>
      </c>
    </row>
    <row r="3069" spans="1:13" x14ac:dyDescent="0.25">
      <c r="A3069">
        <v>6978165</v>
      </c>
      <c r="B3069" t="s">
        <v>11529</v>
      </c>
      <c r="C3069" t="str">
        <f>"9780980464801"</f>
        <v>9780980464801</v>
      </c>
      <c r="D3069" t="str">
        <f>"9780980464818"</f>
        <v>9780980464818</v>
      </c>
      <c r="E3069" t="s">
        <v>11522</v>
      </c>
      <c r="F3069" s="1">
        <v>39692</v>
      </c>
      <c r="G3069" t="s">
        <v>11530</v>
      </c>
      <c r="H3069" t="s">
        <v>5236</v>
      </c>
      <c r="J3069">
        <v>907.4</v>
      </c>
      <c r="L3069" t="s">
        <v>20</v>
      </c>
      <c r="M3069" t="s">
        <v>11531</v>
      </c>
    </row>
    <row r="3070" spans="1:13" x14ac:dyDescent="0.25">
      <c r="A3070">
        <v>6978166</v>
      </c>
      <c r="B3070" t="s">
        <v>11532</v>
      </c>
      <c r="C3070" t="str">
        <f>"9780980464825"</f>
        <v>9780980464825</v>
      </c>
      <c r="D3070" t="str">
        <f>"9780980464832"</f>
        <v>9780980464832</v>
      </c>
      <c r="E3070" t="s">
        <v>11522</v>
      </c>
      <c r="F3070" s="1">
        <v>39995</v>
      </c>
      <c r="G3070" t="s">
        <v>11533</v>
      </c>
      <c r="H3070" t="s">
        <v>5236</v>
      </c>
      <c r="J3070">
        <v>907.202</v>
      </c>
      <c r="L3070" t="s">
        <v>20</v>
      </c>
      <c r="M3070" t="s">
        <v>11534</v>
      </c>
    </row>
    <row r="3071" spans="1:13" x14ac:dyDescent="0.25">
      <c r="A3071">
        <v>6978167</v>
      </c>
      <c r="B3071" t="s">
        <v>11535</v>
      </c>
      <c r="C3071" t="str">
        <f>"9780980464849"</f>
        <v>9780980464849</v>
      </c>
      <c r="D3071" t="str">
        <f>"9780980464856"</f>
        <v>9780980464856</v>
      </c>
      <c r="E3071" t="s">
        <v>11522</v>
      </c>
      <c r="F3071" s="1">
        <v>39965</v>
      </c>
      <c r="G3071" t="s">
        <v>11536</v>
      </c>
      <c r="H3071" t="s">
        <v>246</v>
      </c>
      <c r="J3071">
        <v>741.59</v>
      </c>
      <c r="L3071" t="s">
        <v>20</v>
      </c>
      <c r="M3071" t="s">
        <v>11537</v>
      </c>
    </row>
    <row r="3072" spans="1:13" x14ac:dyDescent="0.25">
      <c r="A3072">
        <v>6978168</v>
      </c>
      <c r="B3072" t="s">
        <v>11538</v>
      </c>
      <c r="C3072" t="str">
        <f>"9780980464863"</f>
        <v>9780980464863</v>
      </c>
      <c r="D3072" t="str">
        <f>"9780980464870"</f>
        <v>9780980464870</v>
      </c>
      <c r="E3072" t="s">
        <v>11522</v>
      </c>
      <c r="F3072" s="1">
        <v>40026</v>
      </c>
      <c r="G3072" t="s">
        <v>11539</v>
      </c>
      <c r="H3072" t="s">
        <v>139</v>
      </c>
      <c r="I3072" t="s">
        <v>11540</v>
      </c>
      <c r="J3072">
        <v>941.00423999999998</v>
      </c>
      <c r="L3072" t="s">
        <v>20</v>
      </c>
      <c r="M3072" t="s">
        <v>11541</v>
      </c>
    </row>
    <row r="3073" spans="1:13" x14ac:dyDescent="0.25">
      <c r="A3073">
        <v>6978169</v>
      </c>
      <c r="B3073" t="s">
        <v>11542</v>
      </c>
      <c r="C3073" t="str">
        <f>"9780980464887"</f>
        <v>9780980464887</v>
      </c>
      <c r="D3073" t="str">
        <f>"9780980464894"</f>
        <v>9780980464894</v>
      </c>
      <c r="E3073" t="s">
        <v>11522</v>
      </c>
      <c r="F3073" s="1">
        <v>40299</v>
      </c>
      <c r="G3073" t="s">
        <v>11543</v>
      </c>
      <c r="H3073" t="s">
        <v>64</v>
      </c>
      <c r="J3073">
        <v>306.09500000000003</v>
      </c>
      <c r="L3073" t="s">
        <v>20</v>
      </c>
      <c r="M3073" t="s">
        <v>11544</v>
      </c>
    </row>
    <row r="3074" spans="1:13" x14ac:dyDescent="0.25">
      <c r="A3074">
        <v>6978170</v>
      </c>
      <c r="B3074" t="s">
        <v>11545</v>
      </c>
      <c r="C3074" t="str">
        <f>"9780980510805"</f>
        <v>9780980510805</v>
      </c>
      <c r="D3074" t="str">
        <f>"9780980510812"</f>
        <v>9780980510812</v>
      </c>
      <c r="E3074" t="s">
        <v>11522</v>
      </c>
      <c r="F3074" s="1">
        <v>39661</v>
      </c>
      <c r="G3074" t="s">
        <v>11546</v>
      </c>
      <c r="H3074" t="s">
        <v>11547</v>
      </c>
      <c r="L3074" t="s">
        <v>20</v>
      </c>
      <c r="M3074" t="s">
        <v>11548</v>
      </c>
    </row>
    <row r="3075" spans="1:13" x14ac:dyDescent="0.25">
      <c r="A3075">
        <v>6978171</v>
      </c>
      <c r="B3075" t="s">
        <v>11549</v>
      </c>
      <c r="C3075" t="str">
        <f>"9780980510829"</f>
        <v>9780980510829</v>
      </c>
      <c r="D3075" t="str">
        <f>"9780980510836"</f>
        <v>9780980510836</v>
      </c>
      <c r="E3075" t="s">
        <v>11522</v>
      </c>
      <c r="F3075" s="1">
        <v>39661</v>
      </c>
      <c r="G3075" t="s">
        <v>11550</v>
      </c>
      <c r="H3075" t="s">
        <v>4206</v>
      </c>
      <c r="L3075" t="s">
        <v>20</v>
      </c>
      <c r="M3075" t="s">
        <v>11551</v>
      </c>
    </row>
    <row r="3076" spans="1:13" x14ac:dyDescent="0.25">
      <c r="A3076">
        <v>6978172</v>
      </c>
      <c r="B3076" t="s">
        <v>11552</v>
      </c>
      <c r="C3076" t="str">
        <f>"9780980510843"</f>
        <v>9780980510843</v>
      </c>
      <c r="D3076" t="str">
        <f>"9780980510850"</f>
        <v>9780980510850</v>
      </c>
      <c r="E3076" t="s">
        <v>11522</v>
      </c>
      <c r="F3076" s="1">
        <v>40238</v>
      </c>
      <c r="G3076" t="s">
        <v>11553</v>
      </c>
      <c r="H3076" t="s">
        <v>4206</v>
      </c>
      <c r="L3076" t="s">
        <v>20</v>
      </c>
      <c r="M3076" t="s">
        <v>11554</v>
      </c>
    </row>
    <row r="3077" spans="1:13" x14ac:dyDescent="0.25">
      <c r="A3077">
        <v>6978173</v>
      </c>
      <c r="B3077" t="s">
        <v>11555</v>
      </c>
      <c r="C3077" t="str">
        <f>"9780980651249"</f>
        <v>9780980651249</v>
      </c>
      <c r="D3077" t="str">
        <f>"9780980651256"</f>
        <v>9780980651256</v>
      </c>
      <c r="E3077" t="s">
        <v>11522</v>
      </c>
      <c r="F3077" s="1">
        <v>40588</v>
      </c>
      <c r="G3077" t="s">
        <v>11556</v>
      </c>
      <c r="H3077" t="s">
        <v>363</v>
      </c>
      <c r="J3077">
        <v>371.38400000000001</v>
      </c>
      <c r="L3077" t="s">
        <v>20</v>
      </c>
      <c r="M3077" t="s">
        <v>11557</v>
      </c>
    </row>
    <row r="3078" spans="1:13" x14ac:dyDescent="0.25">
      <c r="A3078">
        <v>6978176</v>
      </c>
      <c r="B3078" t="s">
        <v>11558</v>
      </c>
      <c r="C3078" t="str">
        <f>"9781921867040"</f>
        <v>9781921867040</v>
      </c>
      <c r="D3078" t="str">
        <f>"9781921867057"</f>
        <v>9781921867057</v>
      </c>
      <c r="E3078" t="s">
        <v>11522</v>
      </c>
      <c r="F3078" s="1">
        <v>40994</v>
      </c>
      <c r="G3078" t="s">
        <v>11559</v>
      </c>
      <c r="H3078" t="s">
        <v>181</v>
      </c>
      <c r="L3078" t="s">
        <v>20</v>
      </c>
      <c r="M3078" t="s">
        <v>11560</v>
      </c>
    </row>
    <row r="3079" spans="1:13" x14ac:dyDescent="0.25">
      <c r="A3079">
        <v>6978178</v>
      </c>
      <c r="B3079" t="s">
        <v>11561</v>
      </c>
      <c r="C3079" t="str">
        <f>"9781921867200"</f>
        <v>9781921867200</v>
      </c>
      <c r="D3079" t="str">
        <f>"9781921867217"</f>
        <v>9781921867217</v>
      </c>
      <c r="E3079" t="s">
        <v>11522</v>
      </c>
      <c r="F3079" s="1">
        <v>40790</v>
      </c>
      <c r="G3079" t="s">
        <v>11562</v>
      </c>
      <c r="H3079" t="s">
        <v>70</v>
      </c>
      <c r="L3079" t="s">
        <v>20</v>
      </c>
      <c r="M3079" t="s">
        <v>11563</v>
      </c>
    </row>
    <row r="3080" spans="1:13" x14ac:dyDescent="0.25">
      <c r="A3080">
        <v>6978179</v>
      </c>
      <c r="B3080" t="s">
        <v>11564</v>
      </c>
      <c r="C3080" t="str">
        <f>"9781921867224"</f>
        <v>9781921867224</v>
      </c>
      <c r="D3080" t="str">
        <f>"9781921867231"</f>
        <v>9781921867231</v>
      </c>
      <c r="E3080" t="s">
        <v>11522</v>
      </c>
      <c r="F3080" s="1">
        <v>40872</v>
      </c>
      <c r="G3080" t="s">
        <v>11565</v>
      </c>
      <c r="H3080" t="s">
        <v>363</v>
      </c>
      <c r="J3080">
        <v>371.82090399999998</v>
      </c>
      <c r="L3080" t="s">
        <v>20</v>
      </c>
      <c r="M3080" t="s">
        <v>11566</v>
      </c>
    </row>
    <row r="3081" spans="1:13" x14ac:dyDescent="0.25">
      <c r="A3081">
        <v>6978180</v>
      </c>
      <c r="B3081" t="s">
        <v>11567</v>
      </c>
      <c r="C3081" t="str">
        <f>"9781921867286"</f>
        <v>9781921867286</v>
      </c>
      <c r="D3081" t="str">
        <f>"9781921867293"</f>
        <v>9781921867293</v>
      </c>
      <c r="E3081" t="s">
        <v>11522</v>
      </c>
      <c r="F3081" s="1">
        <v>41134</v>
      </c>
      <c r="G3081" t="s">
        <v>11568</v>
      </c>
      <c r="H3081" t="s">
        <v>139</v>
      </c>
      <c r="J3081">
        <v>959</v>
      </c>
      <c r="L3081" t="s">
        <v>20</v>
      </c>
      <c r="M3081" t="s">
        <v>11569</v>
      </c>
    </row>
    <row r="3082" spans="1:13" x14ac:dyDescent="0.25">
      <c r="A3082">
        <v>6978181</v>
      </c>
      <c r="B3082" t="s">
        <v>11570</v>
      </c>
      <c r="C3082" t="str">
        <f>"9781921867309"</f>
        <v>9781921867309</v>
      </c>
      <c r="D3082" t="str">
        <f>"9781921867316"</f>
        <v>9781921867316</v>
      </c>
      <c r="E3082" t="s">
        <v>11522</v>
      </c>
      <c r="F3082" s="1">
        <v>41134</v>
      </c>
      <c r="G3082" t="s">
        <v>11571</v>
      </c>
      <c r="H3082" t="s">
        <v>5236</v>
      </c>
      <c r="J3082">
        <v>919.46042</v>
      </c>
      <c r="L3082" t="s">
        <v>20</v>
      </c>
      <c r="M3082" t="s">
        <v>11572</v>
      </c>
    </row>
    <row r="3083" spans="1:13" x14ac:dyDescent="0.25">
      <c r="A3083">
        <v>6978182</v>
      </c>
      <c r="B3083" t="s">
        <v>11573</v>
      </c>
      <c r="C3083" t="str">
        <f>"9781921867323"</f>
        <v>9781921867323</v>
      </c>
      <c r="D3083" t="str">
        <f>"9781921867330"</f>
        <v>9781921867330</v>
      </c>
      <c r="E3083" t="s">
        <v>11522</v>
      </c>
      <c r="F3083" s="1">
        <v>41176</v>
      </c>
      <c r="G3083" t="s">
        <v>11574</v>
      </c>
      <c r="H3083" t="s">
        <v>5236</v>
      </c>
      <c r="J3083">
        <v>915.40452000000005</v>
      </c>
      <c r="L3083" t="s">
        <v>20</v>
      </c>
      <c r="M3083" t="s">
        <v>11575</v>
      </c>
    </row>
    <row r="3084" spans="1:13" x14ac:dyDescent="0.25">
      <c r="A3084">
        <v>6978183</v>
      </c>
      <c r="B3084" t="s">
        <v>11576</v>
      </c>
      <c r="C3084" t="str">
        <f>"9781921867484"</f>
        <v>9781921867484</v>
      </c>
      <c r="D3084" t="str">
        <f>"9781921867491"</f>
        <v>9781921867491</v>
      </c>
      <c r="E3084" t="s">
        <v>11522</v>
      </c>
      <c r="F3084" s="1">
        <v>41218</v>
      </c>
      <c r="G3084" t="s">
        <v>11577</v>
      </c>
      <c r="H3084" t="s">
        <v>139</v>
      </c>
      <c r="J3084">
        <v>959.8</v>
      </c>
      <c r="L3084" t="s">
        <v>20</v>
      </c>
      <c r="M3084" t="s">
        <v>11578</v>
      </c>
    </row>
    <row r="3085" spans="1:13" x14ac:dyDescent="0.25">
      <c r="A3085">
        <v>6978184</v>
      </c>
      <c r="B3085" t="s">
        <v>11579</v>
      </c>
      <c r="C3085" t="str">
        <f>"9781921867521"</f>
        <v>9781921867521</v>
      </c>
      <c r="D3085" t="str">
        <f>"9781921867538"</f>
        <v>9781921867538</v>
      </c>
      <c r="E3085" t="s">
        <v>11522</v>
      </c>
      <c r="F3085" s="1">
        <v>41162</v>
      </c>
      <c r="G3085" t="s">
        <v>11580</v>
      </c>
      <c r="H3085" t="s">
        <v>70</v>
      </c>
      <c r="L3085" t="s">
        <v>20</v>
      </c>
      <c r="M3085" t="s">
        <v>11581</v>
      </c>
    </row>
    <row r="3086" spans="1:13" x14ac:dyDescent="0.25">
      <c r="A3086">
        <v>6978187</v>
      </c>
      <c r="B3086" t="s">
        <v>11582</v>
      </c>
      <c r="C3086" t="str">
        <f>"9781921867989"</f>
        <v>9781921867989</v>
      </c>
      <c r="D3086" t="str">
        <f>"9781921867972"</f>
        <v>9781921867972</v>
      </c>
      <c r="E3086" t="s">
        <v>11522</v>
      </c>
      <c r="F3086" s="1">
        <v>41244</v>
      </c>
      <c r="G3086" t="s">
        <v>11583</v>
      </c>
      <c r="H3086" t="s">
        <v>11584</v>
      </c>
      <c r="L3086" t="s">
        <v>20</v>
      </c>
      <c r="M3086" t="s">
        <v>11585</v>
      </c>
    </row>
    <row r="3087" spans="1:13" x14ac:dyDescent="0.25">
      <c r="A3087">
        <v>6978213</v>
      </c>
      <c r="B3087" t="s">
        <v>11586</v>
      </c>
      <c r="C3087" t="str">
        <f>"9783030479930"</f>
        <v>9783030479930</v>
      </c>
      <c r="D3087" t="str">
        <f>"9783030479947"</f>
        <v>9783030479947</v>
      </c>
      <c r="E3087" t="s">
        <v>2905</v>
      </c>
      <c r="F3087" s="1">
        <v>44044</v>
      </c>
      <c r="G3087" t="s">
        <v>11587</v>
      </c>
      <c r="H3087" t="s">
        <v>266</v>
      </c>
      <c r="I3087" t="s">
        <v>6084</v>
      </c>
      <c r="L3087" t="s">
        <v>20</v>
      </c>
      <c r="M3087" t="s">
        <v>11588</v>
      </c>
    </row>
    <row r="3088" spans="1:13" x14ac:dyDescent="0.25">
      <c r="A3088">
        <v>6978224</v>
      </c>
      <c r="B3088" t="s">
        <v>11589</v>
      </c>
      <c r="C3088" t="str">
        <f>""</f>
        <v/>
      </c>
      <c r="D3088" t="str">
        <f>"9782759234493"</f>
        <v>9782759234493</v>
      </c>
      <c r="E3088" t="s">
        <v>2434</v>
      </c>
      <c r="F3088" s="1">
        <v>44700</v>
      </c>
      <c r="G3088" t="s">
        <v>11590</v>
      </c>
      <c r="L3088" t="s">
        <v>1279</v>
      </c>
      <c r="M3088" t="s">
        <v>11591</v>
      </c>
    </row>
    <row r="3089" spans="1:13" x14ac:dyDescent="0.25">
      <c r="A3089">
        <v>6978226</v>
      </c>
      <c r="B3089" t="s">
        <v>11592</v>
      </c>
      <c r="C3089" t="str">
        <f>""</f>
        <v/>
      </c>
      <c r="D3089" t="str">
        <f>"9782759234615"</f>
        <v>9782759234615</v>
      </c>
      <c r="E3089" t="s">
        <v>2434</v>
      </c>
      <c r="F3089" s="1">
        <v>44700</v>
      </c>
      <c r="G3089" t="s">
        <v>11593</v>
      </c>
      <c r="H3089" t="s">
        <v>3491</v>
      </c>
      <c r="L3089" t="s">
        <v>1279</v>
      </c>
      <c r="M3089" t="s">
        <v>11594</v>
      </c>
    </row>
    <row r="3090" spans="1:13" x14ac:dyDescent="0.25">
      <c r="A3090">
        <v>6978228</v>
      </c>
      <c r="B3090" t="s">
        <v>11595</v>
      </c>
      <c r="C3090" t="str">
        <f>""</f>
        <v/>
      </c>
      <c r="D3090" t="str">
        <f>"9782759234653"</f>
        <v>9782759234653</v>
      </c>
      <c r="E3090" t="s">
        <v>2434</v>
      </c>
      <c r="F3090" s="1">
        <v>44693</v>
      </c>
      <c r="G3090" t="s">
        <v>11596</v>
      </c>
      <c r="H3090" t="s">
        <v>11597</v>
      </c>
      <c r="L3090" t="s">
        <v>1279</v>
      </c>
      <c r="M3090" t="s">
        <v>11598</v>
      </c>
    </row>
    <row r="3091" spans="1:13" x14ac:dyDescent="0.25">
      <c r="A3091">
        <v>6978229</v>
      </c>
      <c r="B3091" t="s">
        <v>11599</v>
      </c>
      <c r="C3091" t="str">
        <f>""</f>
        <v/>
      </c>
      <c r="D3091" t="str">
        <f>"9782759235001"</f>
        <v>9782759235001</v>
      </c>
      <c r="E3091" t="s">
        <v>2434</v>
      </c>
      <c r="F3091" s="1">
        <v>44707</v>
      </c>
      <c r="G3091" t="s">
        <v>11600</v>
      </c>
      <c r="H3091" t="s">
        <v>11601</v>
      </c>
      <c r="L3091" t="s">
        <v>1279</v>
      </c>
      <c r="M3091" t="s">
        <v>11602</v>
      </c>
    </row>
    <row r="3092" spans="1:13" x14ac:dyDescent="0.25">
      <c r="A3092">
        <v>6978245</v>
      </c>
      <c r="B3092" t="s">
        <v>11603</v>
      </c>
      <c r="C3092" t="str">
        <f>"9783030693442"</f>
        <v>9783030693442</v>
      </c>
      <c r="D3092" t="str">
        <f>"9783030693459"</f>
        <v>9783030693459</v>
      </c>
      <c r="E3092" t="s">
        <v>2905</v>
      </c>
      <c r="F3092" s="1">
        <v>44363</v>
      </c>
      <c r="G3092" t="s">
        <v>11604</v>
      </c>
      <c r="H3092" t="s">
        <v>363</v>
      </c>
      <c r="I3092" t="s">
        <v>4235</v>
      </c>
      <c r="L3092" t="s">
        <v>20</v>
      </c>
      <c r="M3092" t="s">
        <v>11605</v>
      </c>
    </row>
    <row r="3093" spans="1:13" x14ac:dyDescent="0.25">
      <c r="A3093">
        <v>6978246</v>
      </c>
      <c r="B3093" t="s">
        <v>11606</v>
      </c>
      <c r="C3093" t="str">
        <f>"9783030748852"</f>
        <v>9783030748852</v>
      </c>
      <c r="D3093" t="str">
        <f>"9783030748869"</f>
        <v>9783030748869</v>
      </c>
      <c r="E3093" t="s">
        <v>2905</v>
      </c>
      <c r="F3093" s="1">
        <v>44366</v>
      </c>
      <c r="G3093" t="s">
        <v>11607</v>
      </c>
      <c r="H3093" t="s">
        <v>4465</v>
      </c>
      <c r="I3093" t="s">
        <v>5167</v>
      </c>
      <c r="L3093" t="s">
        <v>20</v>
      </c>
      <c r="M3093" t="s">
        <v>11608</v>
      </c>
    </row>
    <row r="3094" spans="1:13" x14ac:dyDescent="0.25">
      <c r="A3094">
        <v>6978249</v>
      </c>
      <c r="B3094" t="s">
        <v>11609</v>
      </c>
      <c r="C3094" t="str">
        <f>""</f>
        <v/>
      </c>
      <c r="D3094" t="str">
        <f>"9783030778101"</f>
        <v>9783030778101</v>
      </c>
      <c r="E3094" t="s">
        <v>2905</v>
      </c>
      <c r="F3094" s="1">
        <v>44705</v>
      </c>
      <c r="G3094" t="s">
        <v>11610</v>
      </c>
      <c r="H3094" t="s">
        <v>30</v>
      </c>
      <c r="I3094" t="s">
        <v>4676</v>
      </c>
      <c r="L3094" t="s">
        <v>20</v>
      </c>
      <c r="M3094" t="s">
        <v>11611</v>
      </c>
    </row>
    <row r="3095" spans="1:13" x14ac:dyDescent="0.25">
      <c r="A3095">
        <v>6978250</v>
      </c>
      <c r="B3095" t="s">
        <v>11612</v>
      </c>
      <c r="C3095" t="str">
        <f>"9783030791100"</f>
        <v>9783030791100</v>
      </c>
      <c r="D3095" t="str">
        <f>"9783030791117"</f>
        <v>9783030791117</v>
      </c>
      <c r="E3095" t="s">
        <v>2905</v>
      </c>
      <c r="F3095" s="1">
        <v>44406</v>
      </c>
      <c r="G3095" t="s">
        <v>11613</v>
      </c>
      <c r="H3095" t="s">
        <v>1753</v>
      </c>
      <c r="I3095" t="s">
        <v>4609</v>
      </c>
      <c r="L3095" t="s">
        <v>20</v>
      </c>
      <c r="M3095" t="s">
        <v>11614</v>
      </c>
    </row>
    <row r="3096" spans="1:13" x14ac:dyDescent="0.25">
      <c r="A3096">
        <v>6978251</v>
      </c>
      <c r="B3096" t="s">
        <v>11615</v>
      </c>
      <c r="C3096" t="str">
        <f>"9783030818807"</f>
        <v>9783030818807</v>
      </c>
      <c r="D3096" t="str">
        <f>"9783030818814"</f>
        <v>9783030818814</v>
      </c>
      <c r="E3096" t="s">
        <v>2905</v>
      </c>
      <c r="F3096" s="1">
        <v>44807</v>
      </c>
      <c r="G3096" t="s">
        <v>11616</v>
      </c>
      <c r="H3096" t="s">
        <v>5522</v>
      </c>
      <c r="I3096" t="s">
        <v>4615</v>
      </c>
      <c r="J3096">
        <v>333.3</v>
      </c>
      <c r="L3096" t="s">
        <v>20</v>
      </c>
      <c r="M3096" t="s">
        <v>11617</v>
      </c>
    </row>
    <row r="3097" spans="1:13" x14ac:dyDescent="0.25">
      <c r="A3097">
        <v>6978253</v>
      </c>
      <c r="B3097" t="s">
        <v>11618</v>
      </c>
      <c r="C3097" t="str">
        <f>"9783030855314"</f>
        <v>9783030855314</v>
      </c>
      <c r="D3097" t="str">
        <f>"9783030855321"</f>
        <v>9783030855321</v>
      </c>
      <c r="E3097" t="s">
        <v>2905</v>
      </c>
      <c r="F3097" s="1">
        <v>44692</v>
      </c>
      <c r="G3097" t="s">
        <v>11619</v>
      </c>
      <c r="H3097" t="s">
        <v>4180</v>
      </c>
      <c r="I3097" t="s">
        <v>5629</v>
      </c>
      <c r="L3097" t="s">
        <v>20</v>
      </c>
      <c r="M3097" t="s">
        <v>11620</v>
      </c>
    </row>
    <row r="3098" spans="1:13" x14ac:dyDescent="0.25">
      <c r="A3098">
        <v>6978255</v>
      </c>
      <c r="B3098" t="s">
        <v>11621</v>
      </c>
      <c r="C3098" t="str">
        <f>"9783030868833"</f>
        <v>9783030868833</v>
      </c>
      <c r="D3098" t="str">
        <f>"9783030868840"</f>
        <v>9783030868840</v>
      </c>
      <c r="E3098" t="s">
        <v>2905</v>
      </c>
      <c r="F3098" s="1">
        <v>44709</v>
      </c>
      <c r="G3098" t="s">
        <v>11622</v>
      </c>
      <c r="H3098" t="s">
        <v>547</v>
      </c>
      <c r="I3098" t="s">
        <v>3731</v>
      </c>
      <c r="J3098">
        <v>333.79</v>
      </c>
      <c r="L3098" t="s">
        <v>20</v>
      </c>
      <c r="M3098" t="s">
        <v>11623</v>
      </c>
    </row>
    <row r="3099" spans="1:13" x14ac:dyDescent="0.25">
      <c r="A3099">
        <v>6978256</v>
      </c>
      <c r="B3099" t="s">
        <v>11624</v>
      </c>
      <c r="C3099" t="str">
        <f>"9783030870447"</f>
        <v>9783030870447</v>
      </c>
      <c r="D3099" t="str">
        <f>"9783030870454"</f>
        <v>9783030870454</v>
      </c>
      <c r="E3099" t="s">
        <v>2905</v>
      </c>
      <c r="F3099" s="1">
        <v>44820</v>
      </c>
      <c r="G3099" t="s">
        <v>11625</v>
      </c>
      <c r="H3099" t="s">
        <v>2528</v>
      </c>
      <c r="I3099" t="s">
        <v>6405</v>
      </c>
      <c r="L3099" t="s">
        <v>20</v>
      </c>
      <c r="M3099" t="s">
        <v>11626</v>
      </c>
    </row>
    <row r="3100" spans="1:13" x14ac:dyDescent="0.25">
      <c r="A3100">
        <v>6978259</v>
      </c>
      <c r="B3100" t="s">
        <v>11627</v>
      </c>
      <c r="C3100" t="str">
        <f>"9783030906726"</f>
        <v>9783030906726</v>
      </c>
      <c r="D3100" t="str">
        <f>"9783030906733"</f>
        <v>9783030906733</v>
      </c>
      <c r="E3100" t="s">
        <v>2905</v>
      </c>
      <c r="F3100" s="1">
        <v>44759</v>
      </c>
      <c r="G3100" t="s">
        <v>11628</v>
      </c>
      <c r="H3100" t="s">
        <v>1283</v>
      </c>
      <c r="I3100" t="s">
        <v>11629</v>
      </c>
      <c r="L3100" t="s">
        <v>20</v>
      </c>
      <c r="M3100" t="s">
        <v>11630</v>
      </c>
    </row>
    <row r="3101" spans="1:13" x14ac:dyDescent="0.25">
      <c r="A3101">
        <v>6978260</v>
      </c>
      <c r="B3101" t="s">
        <v>11631</v>
      </c>
      <c r="C3101" t="str">
        <f>"9783030909970"</f>
        <v>9783030909970</v>
      </c>
      <c r="D3101" t="str">
        <f>"9783030909987"</f>
        <v>9783030909987</v>
      </c>
      <c r="E3101" t="s">
        <v>2905</v>
      </c>
      <c r="F3101" s="1">
        <v>44730</v>
      </c>
      <c r="G3101" t="s">
        <v>11632</v>
      </c>
      <c r="H3101" t="s">
        <v>5236</v>
      </c>
      <c r="I3101" t="s">
        <v>5814</v>
      </c>
      <c r="L3101" t="s">
        <v>20</v>
      </c>
      <c r="M3101" t="s">
        <v>11633</v>
      </c>
    </row>
    <row r="3102" spans="1:13" x14ac:dyDescent="0.25">
      <c r="A3102">
        <v>6978261</v>
      </c>
      <c r="B3102" t="s">
        <v>11634</v>
      </c>
      <c r="C3102" t="str">
        <f>"9783030910877"</f>
        <v>9783030910877</v>
      </c>
      <c r="D3102" t="str">
        <f>"9783030910884"</f>
        <v>9783030910884</v>
      </c>
      <c r="E3102" t="s">
        <v>2905</v>
      </c>
      <c r="F3102" s="1">
        <v>44832</v>
      </c>
      <c r="G3102" t="s">
        <v>11635</v>
      </c>
      <c r="H3102" t="s">
        <v>64</v>
      </c>
      <c r="I3102" t="s">
        <v>8735</v>
      </c>
      <c r="J3102">
        <v>361.61</v>
      </c>
      <c r="L3102" t="s">
        <v>20</v>
      </c>
      <c r="M3102" t="s">
        <v>11636</v>
      </c>
    </row>
    <row r="3103" spans="1:13" x14ac:dyDescent="0.25">
      <c r="A3103">
        <v>6978263</v>
      </c>
      <c r="B3103" t="s">
        <v>11637</v>
      </c>
      <c r="C3103" t="str">
        <f>"9783030917159"</f>
        <v>9783030917159</v>
      </c>
      <c r="D3103" t="str">
        <f>"9783030917166"</f>
        <v>9783030917166</v>
      </c>
      <c r="E3103" t="s">
        <v>2905</v>
      </c>
      <c r="F3103" s="1">
        <v>44745</v>
      </c>
      <c r="G3103" t="s">
        <v>11638</v>
      </c>
      <c r="H3103" t="s">
        <v>1056</v>
      </c>
      <c r="I3103" t="s">
        <v>5247</v>
      </c>
      <c r="L3103" t="s">
        <v>20</v>
      </c>
      <c r="M3103" t="s">
        <v>11639</v>
      </c>
    </row>
    <row r="3104" spans="1:13" x14ac:dyDescent="0.25">
      <c r="A3104">
        <v>6978265</v>
      </c>
      <c r="B3104" t="s">
        <v>11640</v>
      </c>
      <c r="C3104" t="str">
        <f>"9783030921132"</f>
        <v>9783030921132</v>
      </c>
      <c r="D3104" t="str">
        <f>"9783030921149"</f>
        <v>9783030921149</v>
      </c>
      <c r="E3104" t="s">
        <v>2905</v>
      </c>
      <c r="F3104" s="1">
        <v>44752</v>
      </c>
      <c r="G3104" t="s">
        <v>11641</v>
      </c>
      <c r="H3104" t="s">
        <v>30</v>
      </c>
      <c r="I3104" t="s">
        <v>4676</v>
      </c>
      <c r="L3104" t="s">
        <v>20</v>
      </c>
      <c r="M3104" t="s">
        <v>11642</v>
      </c>
    </row>
    <row r="3105" spans="1:13" x14ac:dyDescent="0.25">
      <c r="A3105">
        <v>6978267</v>
      </c>
      <c r="B3105" t="s">
        <v>11643</v>
      </c>
      <c r="C3105" t="str">
        <f>"9783030926977"</f>
        <v>9783030926977</v>
      </c>
      <c r="D3105" t="str">
        <f>"9783030926984"</f>
        <v>9783030926984</v>
      </c>
      <c r="E3105" t="s">
        <v>2905</v>
      </c>
      <c r="F3105" s="1">
        <v>44761</v>
      </c>
      <c r="G3105" t="s">
        <v>11644</v>
      </c>
      <c r="H3105" t="s">
        <v>2657</v>
      </c>
      <c r="I3105" t="s">
        <v>8113</v>
      </c>
      <c r="L3105" t="s">
        <v>20</v>
      </c>
      <c r="M3105" t="s">
        <v>11645</v>
      </c>
    </row>
    <row r="3106" spans="1:13" x14ac:dyDescent="0.25">
      <c r="A3106">
        <v>6978268</v>
      </c>
      <c r="B3106" t="s">
        <v>11646</v>
      </c>
      <c r="C3106" t="str">
        <f>"9783030939748"</f>
        <v>9783030939748</v>
      </c>
      <c r="D3106" t="str">
        <f>"9783030939755"</f>
        <v>9783030939755</v>
      </c>
      <c r="E3106" t="s">
        <v>2905</v>
      </c>
      <c r="F3106" s="1">
        <v>44800</v>
      </c>
      <c r="G3106" t="s">
        <v>11647</v>
      </c>
      <c r="H3106" t="s">
        <v>712</v>
      </c>
      <c r="I3106" t="s">
        <v>6117</v>
      </c>
      <c r="L3106" t="s">
        <v>20</v>
      </c>
      <c r="M3106" t="s">
        <v>11648</v>
      </c>
    </row>
    <row r="3107" spans="1:13" x14ac:dyDescent="0.25">
      <c r="A3107">
        <v>6978270</v>
      </c>
      <c r="B3107" t="s">
        <v>11649</v>
      </c>
      <c r="C3107" t="str">
        <f>"9783030941369"</f>
        <v>9783030941369</v>
      </c>
      <c r="D3107" t="str">
        <f>"9783030941376"</f>
        <v>9783030941376</v>
      </c>
      <c r="E3107" t="s">
        <v>2905</v>
      </c>
      <c r="F3107" s="1">
        <v>44803</v>
      </c>
      <c r="G3107" t="s">
        <v>11650</v>
      </c>
      <c r="H3107" t="s">
        <v>5236</v>
      </c>
      <c r="I3107" t="s">
        <v>5237</v>
      </c>
      <c r="L3107" t="s">
        <v>20</v>
      </c>
      <c r="M3107" t="s">
        <v>11651</v>
      </c>
    </row>
    <row r="3108" spans="1:13" x14ac:dyDescent="0.25">
      <c r="A3108">
        <v>6978273</v>
      </c>
      <c r="B3108" t="s">
        <v>11652</v>
      </c>
      <c r="C3108" t="str">
        <f>"9783030946906"</f>
        <v>9783030946906</v>
      </c>
      <c r="D3108" t="str">
        <f>"9783030946913"</f>
        <v>9783030946913</v>
      </c>
      <c r="E3108" t="s">
        <v>2905</v>
      </c>
      <c r="F3108" s="1">
        <v>44773</v>
      </c>
      <c r="G3108" t="s">
        <v>11653</v>
      </c>
      <c r="H3108" t="s">
        <v>1586</v>
      </c>
      <c r="I3108" t="s">
        <v>11654</v>
      </c>
      <c r="L3108" t="s">
        <v>20</v>
      </c>
      <c r="M3108" t="s">
        <v>11655</v>
      </c>
    </row>
    <row r="3109" spans="1:13" x14ac:dyDescent="0.25">
      <c r="A3109">
        <v>6978274</v>
      </c>
      <c r="B3109" t="s">
        <v>11656</v>
      </c>
      <c r="C3109" t="str">
        <f>"9783030947460"</f>
        <v>9783030947460</v>
      </c>
      <c r="D3109" t="str">
        <f>"9783030947477"</f>
        <v>9783030947477</v>
      </c>
      <c r="E3109" t="s">
        <v>2905</v>
      </c>
      <c r="F3109" s="1">
        <v>44764</v>
      </c>
      <c r="G3109" t="s">
        <v>11657</v>
      </c>
      <c r="H3109" t="s">
        <v>3669</v>
      </c>
      <c r="I3109" t="s">
        <v>11658</v>
      </c>
      <c r="J3109">
        <v>181.119</v>
      </c>
      <c r="L3109" t="s">
        <v>20</v>
      </c>
      <c r="M3109" t="s">
        <v>11659</v>
      </c>
    </row>
    <row r="3110" spans="1:13" x14ac:dyDescent="0.25">
      <c r="A3110">
        <v>6978280</v>
      </c>
      <c r="B3110" t="s">
        <v>11660</v>
      </c>
      <c r="C3110" t="str">
        <f>"9783658343057"</f>
        <v>9783658343057</v>
      </c>
      <c r="D3110" t="str">
        <f>"9783658343064"</f>
        <v>9783658343064</v>
      </c>
      <c r="E3110" t="s">
        <v>4472</v>
      </c>
      <c r="F3110" s="1">
        <v>44731</v>
      </c>
      <c r="G3110" t="s">
        <v>11661</v>
      </c>
      <c r="H3110" t="s">
        <v>64</v>
      </c>
      <c r="I3110" t="s">
        <v>4653</v>
      </c>
      <c r="L3110" t="s">
        <v>291</v>
      </c>
      <c r="M3110" t="s">
        <v>11662</v>
      </c>
    </row>
    <row r="3111" spans="1:13" x14ac:dyDescent="0.25">
      <c r="A3111">
        <v>6978281</v>
      </c>
      <c r="B3111" t="s">
        <v>11663</v>
      </c>
      <c r="C3111" t="str">
        <f>"9783658343859"</f>
        <v>9783658343859</v>
      </c>
      <c r="D3111" t="str">
        <f>"9783658343866"</f>
        <v>9783658343866</v>
      </c>
      <c r="E3111" t="s">
        <v>4472</v>
      </c>
      <c r="F3111" s="1">
        <v>44737</v>
      </c>
      <c r="G3111" t="s">
        <v>11664</v>
      </c>
      <c r="H3111" t="s">
        <v>1753</v>
      </c>
      <c r="I3111" t="s">
        <v>8307</v>
      </c>
      <c r="L3111" t="s">
        <v>291</v>
      </c>
      <c r="M3111" t="s">
        <v>11665</v>
      </c>
    </row>
    <row r="3112" spans="1:13" x14ac:dyDescent="0.25">
      <c r="A3112">
        <v>6978283</v>
      </c>
      <c r="B3112" t="s">
        <v>11666</v>
      </c>
      <c r="C3112" t="str">
        <f>"9783658352622"</f>
        <v>9783658352622</v>
      </c>
      <c r="D3112" t="str">
        <f>"9783658352639"</f>
        <v>9783658352639</v>
      </c>
      <c r="E3112" t="s">
        <v>4472</v>
      </c>
      <c r="F3112" s="1">
        <v>44747</v>
      </c>
      <c r="G3112" t="s">
        <v>11667</v>
      </c>
      <c r="H3112" t="s">
        <v>712</v>
      </c>
      <c r="I3112" t="s">
        <v>5272</v>
      </c>
      <c r="L3112" t="s">
        <v>291</v>
      </c>
      <c r="M3112" t="s">
        <v>11668</v>
      </c>
    </row>
    <row r="3113" spans="1:13" x14ac:dyDescent="0.25">
      <c r="A3113">
        <v>6978284</v>
      </c>
      <c r="B3113" t="s">
        <v>11669</v>
      </c>
      <c r="C3113" t="str">
        <f>"9783658353254"</f>
        <v>9783658353254</v>
      </c>
      <c r="D3113" t="str">
        <f>"9783658353261"</f>
        <v>9783658353261</v>
      </c>
      <c r="E3113" t="s">
        <v>4472</v>
      </c>
      <c r="F3113" s="1">
        <v>44730</v>
      </c>
      <c r="G3113" t="s">
        <v>11670</v>
      </c>
      <c r="H3113" t="s">
        <v>1753</v>
      </c>
      <c r="I3113" t="s">
        <v>11671</v>
      </c>
      <c r="L3113" t="s">
        <v>291</v>
      </c>
      <c r="M3113" t="s">
        <v>11672</v>
      </c>
    </row>
    <row r="3114" spans="1:13" x14ac:dyDescent="0.25">
      <c r="A3114">
        <v>6978285</v>
      </c>
      <c r="B3114" t="s">
        <v>11673</v>
      </c>
      <c r="C3114" t="str">
        <f>"9783658354558"</f>
        <v>9783658354558</v>
      </c>
      <c r="D3114" t="str">
        <f>"9783658354565"</f>
        <v>9783658354565</v>
      </c>
      <c r="E3114" t="s">
        <v>4472</v>
      </c>
      <c r="F3114" s="1">
        <v>44502</v>
      </c>
      <c r="G3114" t="s">
        <v>11674</v>
      </c>
      <c r="H3114" t="s">
        <v>5623</v>
      </c>
      <c r="I3114" t="s">
        <v>10576</v>
      </c>
      <c r="L3114" t="s">
        <v>291</v>
      </c>
      <c r="M3114" t="s">
        <v>11675</v>
      </c>
    </row>
    <row r="3115" spans="1:13" x14ac:dyDescent="0.25">
      <c r="A3115">
        <v>6978286</v>
      </c>
      <c r="B3115" t="s">
        <v>11676</v>
      </c>
      <c r="C3115" t="str">
        <f>"9783658357436"</f>
        <v>9783658357436</v>
      </c>
      <c r="D3115" t="str">
        <f>"9783658357443"</f>
        <v>9783658357443</v>
      </c>
      <c r="E3115" t="s">
        <v>4472</v>
      </c>
      <c r="F3115" s="1">
        <v>44780</v>
      </c>
      <c r="G3115" t="s">
        <v>11677</v>
      </c>
      <c r="H3115" t="s">
        <v>2597</v>
      </c>
      <c r="I3115" t="s">
        <v>4255</v>
      </c>
      <c r="L3115" t="s">
        <v>291</v>
      </c>
      <c r="M3115" t="s">
        <v>11678</v>
      </c>
    </row>
    <row r="3116" spans="1:13" x14ac:dyDescent="0.25">
      <c r="A3116">
        <v>6978287</v>
      </c>
      <c r="B3116" t="s">
        <v>11679</v>
      </c>
      <c r="C3116" t="str">
        <f>"9783658360214"</f>
        <v>9783658360214</v>
      </c>
      <c r="D3116" t="str">
        <f>"9783658360221"</f>
        <v>9783658360221</v>
      </c>
      <c r="E3116" t="s">
        <v>4472</v>
      </c>
      <c r="F3116" s="1">
        <v>44772</v>
      </c>
      <c r="G3116" t="s">
        <v>6060</v>
      </c>
      <c r="H3116" t="s">
        <v>1753</v>
      </c>
      <c r="I3116" t="s">
        <v>10483</v>
      </c>
      <c r="L3116" t="s">
        <v>291</v>
      </c>
      <c r="M3116" t="s">
        <v>11680</v>
      </c>
    </row>
    <row r="3117" spans="1:13" x14ac:dyDescent="0.25">
      <c r="A3117">
        <v>6978288</v>
      </c>
      <c r="B3117" t="s">
        <v>11681</v>
      </c>
      <c r="C3117" t="str">
        <f>"9783658361440"</f>
        <v>9783658361440</v>
      </c>
      <c r="D3117" t="str">
        <f>"9783658361457"</f>
        <v>9783658361457</v>
      </c>
      <c r="E3117" t="s">
        <v>4472</v>
      </c>
      <c r="F3117" s="1">
        <v>44734</v>
      </c>
      <c r="G3117" t="s">
        <v>11682</v>
      </c>
      <c r="H3117" t="s">
        <v>30</v>
      </c>
      <c r="I3117" t="s">
        <v>4734</v>
      </c>
      <c r="L3117" t="s">
        <v>291</v>
      </c>
      <c r="M3117" t="s">
        <v>11683</v>
      </c>
    </row>
    <row r="3118" spans="1:13" x14ac:dyDescent="0.25">
      <c r="A3118">
        <v>6978290</v>
      </c>
      <c r="B3118" t="s">
        <v>11684</v>
      </c>
      <c r="C3118" t="str">
        <f>"9783658365615"</f>
        <v>9783658365615</v>
      </c>
      <c r="D3118" t="str">
        <f>"9783658365622"</f>
        <v>9783658365622</v>
      </c>
      <c r="E3118" t="s">
        <v>4472</v>
      </c>
      <c r="F3118" s="1">
        <v>44841</v>
      </c>
      <c r="G3118" t="s">
        <v>11685</v>
      </c>
      <c r="H3118" t="s">
        <v>64</v>
      </c>
      <c r="I3118" t="s">
        <v>4239</v>
      </c>
      <c r="L3118" t="s">
        <v>291</v>
      </c>
      <c r="M3118" t="s">
        <v>11686</v>
      </c>
    </row>
    <row r="3119" spans="1:13" x14ac:dyDescent="0.25">
      <c r="A3119">
        <v>6978291</v>
      </c>
      <c r="B3119" t="s">
        <v>11687</v>
      </c>
      <c r="C3119" t="str">
        <f>"9783658365677"</f>
        <v>9783658365677</v>
      </c>
      <c r="D3119" t="str">
        <f>"9783658365684"</f>
        <v>9783658365684</v>
      </c>
      <c r="E3119" t="s">
        <v>4472</v>
      </c>
      <c r="F3119" s="1">
        <v>44803</v>
      </c>
      <c r="G3119" t="s">
        <v>11688</v>
      </c>
      <c r="H3119" t="s">
        <v>310</v>
      </c>
      <c r="I3119" t="s">
        <v>5718</v>
      </c>
      <c r="L3119" t="s">
        <v>291</v>
      </c>
      <c r="M3119" t="s">
        <v>11689</v>
      </c>
    </row>
    <row r="3120" spans="1:13" x14ac:dyDescent="0.25">
      <c r="A3120">
        <v>6978292</v>
      </c>
      <c r="B3120" t="s">
        <v>11690</v>
      </c>
      <c r="C3120" t="str">
        <f>"9783662634042"</f>
        <v>9783662634042</v>
      </c>
      <c r="D3120" t="str">
        <f>"9783662634059"</f>
        <v>9783662634059</v>
      </c>
      <c r="E3120" t="s">
        <v>4540</v>
      </c>
      <c r="F3120" s="1">
        <v>44720</v>
      </c>
      <c r="G3120" t="s">
        <v>11691</v>
      </c>
      <c r="H3120" t="s">
        <v>1586</v>
      </c>
      <c r="I3120" t="s">
        <v>11692</v>
      </c>
      <c r="L3120" t="s">
        <v>291</v>
      </c>
      <c r="M3120" t="s">
        <v>11693</v>
      </c>
    </row>
    <row r="3121" spans="1:13" x14ac:dyDescent="0.25">
      <c r="A3121">
        <v>6978294</v>
      </c>
      <c r="B3121" t="s">
        <v>11694</v>
      </c>
      <c r="C3121" t="str">
        <f>"9783662640708"</f>
        <v>9783662640708</v>
      </c>
      <c r="D3121" t="str">
        <f>"9783662640715"</f>
        <v>9783662640715</v>
      </c>
      <c r="E3121" t="s">
        <v>4540</v>
      </c>
      <c r="F3121" s="1">
        <v>44748</v>
      </c>
      <c r="G3121" t="s">
        <v>11695</v>
      </c>
      <c r="H3121" t="s">
        <v>1753</v>
      </c>
      <c r="I3121" t="s">
        <v>4569</v>
      </c>
      <c r="L3121" t="s">
        <v>291</v>
      </c>
      <c r="M3121" t="s">
        <v>11696</v>
      </c>
    </row>
    <row r="3122" spans="1:13" x14ac:dyDescent="0.25">
      <c r="A3122">
        <v>6978295</v>
      </c>
      <c r="B3122" t="s">
        <v>11697</v>
      </c>
      <c r="C3122" t="str">
        <f>"9783662642825"</f>
        <v>9783662642825</v>
      </c>
      <c r="D3122" t="str">
        <f>"9783662642832"</f>
        <v>9783662642832</v>
      </c>
      <c r="E3122" t="s">
        <v>4540</v>
      </c>
      <c r="F3122" s="1">
        <v>44877</v>
      </c>
      <c r="G3122" t="s">
        <v>6087</v>
      </c>
      <c r="H3122" t="s">
        <v>4564</v>
      </c>
      <c r="I3122" t="s">
        <v>5454</v>
      </c>
      <c r="L3122" t="s">
        <v>20</v>
      </c>
      <c r="M3122" t="s">
        <v>11698</v>
      </c>
    </row>
    <row r="3123" spans="1:13" x14ac:dyDescent="0.25">
      <c r="A3123">
        <v>6978296</v>
      </c>
      <c r="B3123" t="s">
        <v>11699</v>
      </c>
      <c r="C3123" t="str">
        <f>"9783662647370"</f>
        <v>9783662647370</v>
      </c>
      <c r="D3123" t="str">
        <f>"9783662647387"</f>
        <v>9783662647387</v>
      </c>
      <c r="E3123" t="s">
        <v>5860</v>
      </c>
      <c r="F3123" s="1">
        <v>44699</v>
      </c>
      <c r="G3123" t="s">
        <v>11700</v>
      </c>
      <c r="H3123" t="s">
        <v>851</v>
      </c>
      <c r="I3123" t="s">
        <v>6542</v>
      </c>
      <c r="L3123" t="s">
        <v>291</v>
      </c>
      <c r="M3123" t="s">
        <v>11701</v>
      </c>
    </row>
    <row r="3124" spans="1:13" x14ac:dyDescent="0.25">
      <c r="A3124">
        <v>6978298</v>
      </c>
      <c r="B3124" t="s">
        <v>11702</v>
      </c>
      <c r="C3124" t="str">
        <f>"9789811694035"</f>
        <v>9789811694035</v>
      </c>
      <c r="D3124" t="str">
        <f>"9789811694042"</f>
        <v>9789811694042</v>
      </c>
      <c r="E3124" t="s">
        <v>4099</v>
      </c>
      <c r="F3124" s="1">
        <v>44775</v>
      </c>
      <c r="G3124" t="s">
        <v>11703</v>
      </c>
      <c r="H3124" t="s">
        <v>1283</v>
      </c>
      <c r="I3124" t="s">
        <v>8336</v>
      </c>
      <c r="L3124" t="s">
        <v>20</v>
      </c>
      <c r="M3124" t="s">
        <v>11704</v>
      </c>
    </row>
    <row r="3125" spans="1:13" x14ac:dyDescent="0.25">
      <c r="A3125">
        <v>6978299</v>
      </c>
      <c r="B3125" t="s">
        <v>11705</v>
      </c>
      <c r="C3125" t="str">
        <f>"9780472072996"</f>
        <v>9780472072996</v>
      </c>
      <c r="D3125" t="str">
        <f>"9780472900039"</f>
        <v>9780472900039</v>
      </c>
      <c r="E3125" t="s">
        <v>6708</v>
      </c>
      <c r="F3125" s="1">
        <v>42283</v>
      </c>
      <c r="G3125" t="s">
        <v>11706</v>
      </c>
      <c r="H3125" t="s">
        <v>30</v>
      </c>
      <c r="I3125" t="s">
        <v>11707</v>
      </c>
      <c r="J3125" t="s">
        <v>11708</v>
      </c>
      <c r="L3125" t="s">
        <v>20</v>
      </c>
      <c r="M3125" t="s">
        <v>11709</v>
      </c>
    </row>
    <row r="3126" spans="1:13" x14ac:dyDescent="0.25">
      <c r="A3126">
        <v>6978300</v>
      </c>
      <c r="B3126" t="s">
        <v>11710</v>
      </c>
      <c r="C3126" t="str">
        <f>"9780472075058"</f>
        <v>9780472075058</v>
      </c>
      <c r="D3126" t="str">
        <f>"9780472902491"</f>
        <v>9780472902491</v>
      </c>
      <c r="E3126" t="s">
        <v>6708</v>
      </c>
      <c r="F3126" s="1">
        <v>44530</v>
      </c>
      <c r="G3126" t="s">
        <v>11711</v>
      </c>
      <c r="H3126" t="s">
        <v>30</v>
      </c>
      <c r="I3126" t="s">
        <v>11712</v>
      </c>
      <c r="J3126">
        <v>320.51089999999999</v>
      </c>
      <c r="L3126" t="s">
        <v>20</v>
      </c>
      <c r="M3126" t="s">
        <v>11713</v>
      </c>
    </row>
    <row r="3127" spans="1:13" x14ac:dyDescent="0.25">
      <c r="A3127">
        <v>6978301</v>
      </c>
      <c r="B3127" t="s">
        <v>11714</v>
      </c>
      <c r="C3127" t="str">
        <f>"9781501514357"</f>
        <v>9781501514357</v>
      </c>
      <c r="D3127" t="str">
        <f>"9781501505133"</f>
        <v>9781501505133</v>
      </c>
      <c r="E3127" t="s">
        <v>270</v>
      </c>
      <c r="F3127" s="1">
        <v>43381</v>
      </c>
      <c r="G3127" t="s">
        <v>11715</v>
      </c>
      <c r="H3127" t="s">
        <v>70</v>
      </c>
      <c r="J3127">
        <v>895.10900100000003</v>
      </c>
      <c r="L3127" t="s">
        <v>20</v>
      </c>
      <c r="M3127" t="s">
        <v>11716</v>
      </c>
    </row>
    <row r="3128" spans="1:13" x14ac:dyDescent="0.25">
      <c r="A3128">
        <v>6978302</v>
      </c>
      <c r="B3128" t="s">
        <v>11717</v>
      </c>
      <c r="C3128" t="str">
        <f>"9781501515637"</f>
        <v>9781501515637</v>
      </c>
      <c r="D3128" t="str">
        <f>"9781501507038"</f>
        <v>9781501507038</v>
      </c>
      <c r="E3128" t="s">
        <v>270</v>
      </c>
      <c r="F3128" s="1">
        <v>44277</v>
      </c>
      <c r="G3128" t="s">
        <v>11718</v>
      </c>
      <c r="H3128" t="s">
        <v>70</v>
      </c>
      <c r="J3128" t="s">
        <v>11719</v>
      </c>
      <c r="L3128" t="s">
        <v>20</v>
      </c>
      <c r="M3128" t="s">
        <v>11720</v>
      </c>
    </row>
    <row r="3129" spans="1:13" x14ac:dyDescent="0.25">
      <c r="A3129">
        <v>6978372</v>
      </c>
      <c r="B3129" t="s">
        <v>11721</v>
      </c>
      <c r="C3129" t="str">
        <f>"9783110463682"</f>
        <v>9783110463682</v>
      </c>
      <c r="D3129" t="str">
        <f>"9783110466133"</f>
        <v>9783110466133</v>
      </c>
      <c r="E3129" t="s">
        <v>350</v>
      </c>
      <c r="F3129" s="1">
        <v>43451</v>
      </c>
      <c r="G3129" t="s">
        <v>11722</v>
      </c>
      <c r="H3129" t="s">
        <v>5236</v>
      </c>
      <c r="I3129" t="s">
        <v>11723</v>
      </c>
      <c r="J3129">
        <v>907.1</v>
      </c>
      <c r="L3129" t="s">
        <v>20</v>
      </c>
      <c r="M3129" t="s">
        <v>11724</v>
      </c>
    </row>
    <row r="3130" spans="1:13" x14ac:dyDescent="0.25">
      <c r="A3130">
        <v>6978373</v>
      </c>
      <c r="B3130" t="s">
        <v>11725</v>
      </c>
      <c r="C3130" t="str">
        <f>"9783110472202"</f>
        <v>9783110472202</v>
      </c>
      <c r="D3130" t="str">
        <f>"9783110475838"</f>
        <v>9783110475838</v>
      </c>
      <c r="E3130" t="s">
        <v>270</v>
      </c>
      <c r="F3130" s="1">
        <v>42898</v>
      </c>
      <c r="G3130" t="s">
        <v>11726</v>
      </c>
      <c r="H3130" t="s">
        <v>70</v>
      </c>
      <c r="J3130">
        <v>871.00900000000001</v>
      </c>
      <c r="L3130" t="s">
        <v>20</v>
      </c>
      <c r="M3130" t="s">
        <v>11727</v>
      </c>
    </row>
    <row r="3131" spans="1:13" x14ac:dyDescent="0.25">
      <c r="A3131">
        <v>6978374</v>
      </c>
      <c r="B3131" t="s">
        <v>11728</v>
      </c>
      <c r="C3131" t="str">
        <f>"9783110479577"</f>
        <v>9783110479577</v>
      </c>
      <c r="D3131" t="str">
        <f>"9783110481112"</f>
        <v>9783110481112</v>
      </c>
      <c r="E3131" t="s">
        <v>350</v>
      </c>
      <c r="F3131" s="1">
        <v>44550</v>
      </c>
      <c r="G3131" t="s">
        <v>2882</v>
      </c>
      <c r="H3131" t="s">
        <v>70</v>
      </c>
      <c r="J3131">
        <v>809.93359999999996</v>
      </c>
      <c r="L3131" t="s">
        <v>20</v>
      </c>
      <c r="M3131" t="s">
        <v>11729</v>
      </c>
    </row>
    <row r="3132" spans="1:13" x14ac:dyDescent="0.25">
      <c r="A3132">
        <v>6978376</v>
      </c>
      <c r="B3132" t="s">
        <v>11730</v>
      </c>
      <c r="C3132" t="str">
        <f>"9783110487343"</f>
        <v>9783110487343</v>
      </c>
      <c r="D3132" t="str">
        <f>"9783110492507"</f>
        <v>9783110492507</v>
      </c>
      <c r="E3132" t="s">
        <v>350</v>
      </c>
      <c r="F3132" s="1">
        <v>42851</v>
      </c>
      <c r="G3132" t="s">
        <v>11731</v>
      </c>
      <c r="H3132" t="s">
        <v>495</v>
      </c>
      <c r="L3132" t="s">
        <v>20</v>
      </c>
      <c r="M3132" t="s">
        <v>11732</v>
      </c>
    </row>
    <row r="3133" spans="1:13" x14ac:dyDescent="0.25">
      <c r="A3133">
        <v>6978377</v>
      </c>
      <c r="B3133" t="s">
        <v>11733</v>
      </c>
      <c r="C3133" t="str">
        <f>"9783110501346"</f>
        <v>9783110501346</v>
      </c>
      <c r="D3133" t="str">
        <f>"9783110516319"</f>
        <v>9783110516319</v>
      </c>
      <c r="E3133" t="s">
        <v>350</v>
      </c>
      <c r="F3133" s="1">
        <v>43178</v>
      </c>
      <c r="G3133" t="s">
        <v>11734</v>
      </c>
      <c r="H3133" t="s">
        <v>11735</v>
      </c>
      <c r="L3133" t="s">
        <v>291</v>
      </c>
      <c r="M3133" t="s">
        <v>11736</v>
      </c>
    </row>
    <row r="3134" spans="1:13" x14ac:dyDescent="0.25">
      <c r="A3134">
        <v>6978378</v>
      </c>
      <c r="B3134" t="s">
        <v>11737</v>
      </c>
      <c r="C3134" t="str">
        <f>"9783110496406"</f>
        <v>9783110496406</v>
      </c>
      <c r="D3134" t="str">
        <f>"9783110520521"</f>
        <v>9783110520521</v>
      </c>
      <c r="E3134" t="s">
        <v>270</v>
      </c>
      <c r="F3134" s="1">
        <v>43423</v>
      </c>
      <c r="G3134" t="s">
        <v>11738</v>
      </c>
      <c r="H3134" t="s">
        <v>70</v>
      </c>
      <c r="L3134" t="s">
        <v>291</v>
      </c>
      <c r="M3134" t="s">
        <v>11739</v>
      </c>
    </row>
    <row r="3135" spans="1:13" x14ac:dyDescent="0.25">
      <c r="A3135">
        <v>6978379</v>
      </c>
      <c r="B3135" t="s">
        <v>11740</v>
      </c>
      <c r="C3135" t="str">
        <f>"9783110518481"</f>
        <v>9783110518481</v>
      </c>
      <c r="D3135" t="str">
        <f>"9783110520965"</f>
        <v>9783110520965</v>
      </c>
      <c r="E3135" t="s">
        <v>350</v>
      </c>
      <c r="F3135" s="1">
        <v>43003</v>
      </c>
      <c r="G3135" t="s">
        <v>11741</v>
      </c>
      <c r="H3135" t="s">
        <v>64</v>
      </c>
      <c r="J3135" t="s">
        <v>11742</v>
      </c>
      <c r="L3135" t="s">
        <v>291</v>
      </c>
      <c r="M3135" t="s">
        <v>11743</v>
      </c>
    </row>
    <row r="3136" spans="1:13" x14ac:dyDescent="0.25">
      <c r="A3136">
        <v>6978380</v>
      </c>
      <c r="B3136" t="s">
        <v>11744</v>
      </c>
      <c r="C3136" t="str">
        <f>"9783110522006"</f>
        <v>9783110522006</v>
      </c>
      <c r="D3136" t="str">
        <f>"9783110523300"</f>
        <v>9783110523300</v>
      </c>
      <c r="E3136" t="s">
        <v>350</v>
      </c>
      <c r="F3136" s="1">
        <v>43213</v>
      </c>
      <c r="G3136" t="s">
        <v>11745</v>
      </c>
      <c r="H3136" t="s">
        <v>70</v>
      </c>
      <c r="L3136" t="s">
        <v>291</v>
      </c>
      <c r="M3136" t="s">
        <v>11746</v>
      </c>
    </row>
    <row r="3137" spans="1:13" x14ac:dyDescent="0.25">
      <c r="A3137">
        <v>6978381</v>
      </c>
      <c r="B3137" t="s">
        <v>11747</v>
      </c>
      <c r="C3137" t="str">
        <f>"9783110487145"</f>
        <v>9783110487145</v>
      </c>
      <c r="D3137" t="str">
        <f>"9783110530797"</f>
        <v>9783110530797</v>
      </c>
      <c r="E3137" t="s">
        <v>350</v>
      </c>
      <c r="F3137" s="1">
        <v>43073</v>
      </c>
      <c r="G3137" t="s">
        <v>11748</v>
      </c>
      <c r="H3137" t="s">
        <v>310</v>
      </c>
      <c r="J3137" t="s">
        <v>11749</v>
      </c>
      <c r="L3137" t="s">
        <v>20</v>
      </c>
      <c r="M3137" t="s">
        <v>11750</v>
      </c>
    </row>
    <row r="3138" spans="1:13" x14ac:dyDescent="0.25">
      <c r="A3138">
        <v>6978383</v>
      </c>
      <c r="B3138" t="s">
        <v>11751</v>
      </c>
      <c r="C3138" t="str">
        <f>"9783110543094"</f>
        <v>9783110543094</v>
      </c>
      <c r="D3138" t="str">
        <f>"9783110543100"</f>
        <v>9783110543100</v>
      </c>
      <c r="E3138" t="s">
        <v>350</v>
      </c>
      <c r="F3138" s="1">
        <v>43087</v>
      </c>
      <c r="G3138" t="s">
        <v>11752</v>
      </c>
      <c r="H3138" t="s">
        <v>11753</v>
      </c>
      <c r="L3138" t="s">
        <v>20</v>
      </c>
      <c r="M3138" t="s">
        <v>11754</v>
      </c>
    </row>
    <row r="3139" spans="1:13" x14ac:dyDescent="0.25">
      <c r="A3139">
        <v>6978384</v>
      </c>
      <c r="B3139" t="s">
        <v>11755</v>
      </c>
      <c r="C3139" t="str">
        <f>"9783110543230"</f>
        <v>9783110543230</v>
      </c>
      <c r="D3139" t="str">
        <f>"9783110546231"</f>
        <v>9783110546231</v>
      </c>
      <c r="E3139" t="s">
        <v>350</v>
      </c>
      <c r="F3139" s="1">
        <v>42968</v>
      </c>
      <c r="G3139" t="s">
        <v>11756</v>
      </c>
      <c r="H3139" t="s">
        <v>70</v>
      </c>
      <c r="L3139" t="s">
        <v>291</v>
      </c>
      <c r="M3139" t="s">
        <v>11757</v>
      </c>
    </row>
    <row r="3140" spans="1:13" x14ac:dyDescent="0.25">
      <c r="A3140">
        <v>6978385</v>
      </c>
      <c r="B3140" t="s">
        <v>11758</v>
      </c>
      <c r="C3140" t="str">
        <f>"9783110554977"</f>
        <v>9783110554977</v>
      </c>
      <c r="D3140" t="str">
        <f>"9783110555080"</f>
        <v>9783110555080</v>
      </c>
      <c r="E3140" t="s">
        <v>350</v>
      </c>
      <c r="F3140" s="1">
        <v>43290</v>
      </c>
      <c r="G3140" t="s">
        <v>11759</v>
      </c>
      <c r="H3140" t="s">
        <v>266</v>
      </c>
      <c r="I3140" t="s">
        <v>11760</v>
      </c>
      <c r="J3140" t="s">
        <v>11761</v>
      </c>
      <c r="L3140" t="s">
        <v>291</v>
      </c>
      <c r="M3140" t="s">
        <v>11762</v>
      </c>
    </row>
    <row r="3141" spans="1:13" x14ac:dyDescent="0.25">
      <c r="A3141">
        <v>6978386</v>
      </c>
      <c r="B3141" t="s">
        <v>11763</v>
      </c>
      <c r="C3141" t="str">
        <f>"9783110556087"</f>
        <v>9783110556087</v>
      </c>
      <c r="D3141" t="str">
        <f>"9783110556094"</f>
        <v>9783110556094</v>
      </c>
      <c r="E3141" t="s">
        <v>350</v>
      </c>
      <c r="F3141" s="1">
        <v>43046</v>
      </c>
      <c r="G3141" t="s">
        <v>3962</v>
      </c>
      <c r="H3141" t="s">
        <v>70</v>
      </c>
      <c r="L3141" t="s">
        <v>20</v>
      </c>
      <c r="M3141" t="s">
        <v>11764</v>
      </c>
    </row>
    <row r="3142" spans="1:13" x14ac:dyDescent="0.25">
      <c r="A3142">
        <v>6978387</v>
      </c>
      <c r="B3142" t="s">
        <v>11765</v>
      </c>
      <c r="C3142" t="str">
        <f>"9783110553161"</f>
        <v>9783110553161</v>
      </c>
      <c r="D3142" t="str">
        <f>"9783110557176"</f>
        <v>9783110557176</v>
      </c>
      <c r="E3142" t="s">
        <v>350</v>
      </c>
      <c r="F3142" s="1">
        <v>44095</v>
      </c>
      <c r="G3142" t="s">
        <v>11766</v>
      </c>
      <c r="H3142" t="s">
        <v>3047</v>
      </c>
      <c r="L3142" t="s">
        <v>20</v>
      </c>
      <c r="M3142" t="s">
        <v>11767</v>
      </c>
    </row>
    <row r="3143" spans="1:13" x14ac:dyDescent="0.25">
      <c r="A3143">
        <v>6978388</v>
      </c>
      <c r="B3143" t="s">
        <v>11768</v>
      </c>
      <c r="C3143" t="str">
        <f>"9783110557909"</f>
        <v>9783110557909</v>
      </c>
      <c r="D3143" t="str">
        <f>"9783110557862"</f>
        <v>9783110557862</v>
      </c>
      <c r="E3143" t="s">
        <v>350</v>
      </c>
      <c r="F3143" s="1">
        <v>43046</v>
      </c>
      <c r="G3143" t="s">
        <v>11769</v>
      </c>
      <c r="H3143" t="s">
        <v>851</v>
      </c>
      <c r="L3143" t="s">
        <v>291</v>
      </c>
      <c r="M3143" t="s">
        <v>11770</v>
      </c>
    </row>
    <row r="3144" spans="1:13" x14ac:dyDescent="0.25">
      <c r="A3144">
        <v>6978389</v>
      </c>
      <c r="B3144" t="s">
        <v>11771</v>
      </c>
      <c r="C3144" t="str">
        <f>"9783110575606"</f>
        <v>9783110575606</v>
      </c>
      <c r="D3144" t="str">
        <f>"9783110577686"</f>
        <v>9783110577686</v>
      </c>
      <c r="E3144" t="s">
        <v>350</v>
      </c>
      <c r="F3144" s="1">
        <v>43451</v>
      </c>
      <c r="G3144" t="s">
        <v>11772</v>
      </c>
      <c r="H3144" t="s">
        <v>310</v>
      </c>
      <c r="L3144" t="s">
        <v>20</v>
      </c>
      <c r="M3144" t="s">
        <v>11773</v>
      </c>
    </row>
    <row r="3145" spans="1:13" x14ac:dyDescent="0.25">
      <c r="A3145">
        <v>6978390</v>
      </c>
      <c r="B3145" t="s">
        <v>11774</v>
      </c>
      <c r="C3145" t="str">
        <f>"9783110578423"</f>
        <v>9783110578423</v>
      </c>
      <c r="D3145" t="str">
        <f>"9783110581546"</f>
        <v>9783110581546</v>
      </c>
      <c r="E3145" t="s">
        <v>350</v>
      </c>
      <c r="F3145" s="1">
        <v>43437</v>
      </c>
      <c r="G3145" t="s">
        <v>11775</v>
      </c>
      <c r="H3145" t="s">
        <v>64</v>
      </c>
      <c r="J3145" t="s">
        <v>11776</v>
      </c>
      <c r="L3145" t="s">
        <v>20</v>
      </c>
      <c r="M3145" t="s">
        <v>11777</v>
      </c>
    </row>
    <row r="3146" spans="1:13" x14ac:dyDescent="0.25">
      <c r="A3146">
        <v>6978420</v>
      </c>
      <c r="B3146" t="s">
        <v>11778</v>
      </c>
      <c r="C3146" t="str">
        <f>"9783486575613"</f>
        <v>9783486575613</v>
      </c>
      <c r="D3146" t="str">
        <f>"9783486835700"</f>
        <v>9783486835700</v>
      </c>
      <c r="E3146" t="s">
        <v>350</v>
      </c>
      <c r="F3146" s="1">
        <v>38287</v>
      </c>
      <c r="G3146" t="s">
        <v>11779</v>
      </c>
      <c r="H3146" t="s">
        <v>139</v>
      </c>
      <c r="L3146" t="s">
        <v>291</v>
      </c>
      <c r="M3146" t="s">
        <v>11780</v>
      </c>
    </row>
    <row r="3147" spans="1:13" x14ac:dyDescent="0.25">
      <c r="A3147">
        <v>6983584</v>
      </c>
      <c r="B3147" t="s">
        <v>11781</v>
      </c>
      <c r="C3147" t="str">
        <f>"9780520381711"</f>
        <v>9780520381711</v>
      </c>
      <c r="D3147" t="str">
        <f>"9780520381728"</f>
        <v>9780520381728</v>
      </c>
      <c r="E3147" t="s">
        <v>10537</v>
      </c>
      <c r="F3147" s="1">
        <v>44348</v>
      </c>
      <c r="G3147" t="s">
        <v>11782</v>
      </c>
      <c r="H3147" t="s">
        <v>64</v>
      </c>
      <c r="J3147">
        <v>306.44952000000001</v>
      </c>
      <c r="L3147" t="s">
        <v>20</v>
      </c>
      <c r="M3147" t="s">
        <v>11783</v>
      </c>
    </row>
    <row r="3148" spans="1:13" x14ac:dyDescent="0.25">
      <c r="A3148">
        <v>6983637</v>
      </c>
      <c r="B3148" t="s">
        <v>11784</v>
      </c>
      <c r="C3148" t="str">
        <f>"9780520299320"</f>
        <v>9780520299320</v>
      </c>
      <c r="D3148" t="str">
        <f>"9780520971103"</f>
        <v>9780520971103</v>
      </c>
      <c r="E3148" t="s">
        <v>10537</v>
      </c>
      <c r="F3148" s="1">
        <v>43658</v>
      </c>
      <c r="G3148" t="s">
        <v>11785</v>
      </c>
      <c r="H3148" t="s">
        <v>64</v>
      </c>
      <c r="I3148" t="s">
        <v>11786</v>
      </c>
      <c r="J3148" t="s">
        <v>11787</v>
      </c>
      <c r="L3148" t="s">
        <v>20</v>
      </c>
      <c r="M3148" t="s">
        <v>11788</v>
      </c>
    </row>
    <row r="3149" spans="1:13" x14ac:dyDescent="0.25">
      <c r="A3149">
        <v>6983699</v>
      </c>
      <c r="B3149" t="s">
        <v>11789</v>
      </c>
      <c r="C3149" t="str">
        <f>"9780520296985"</f>
        <v>9780520296985</v>
      </c>
      <c r="D3149" t="str">
        <f>"9780520969513"</f>
        <v>9780520969513</v>
      </c>
      <c r="E3149" t="s">
        <v>10537</v>
      </c>
      <c r="F3149" s="1">
        <v>43774</v>
      </c>
      <c r="G3149" t="s">
        <v>11790</v>
      </c>
      <c r="H3149" t="s">
        <v>246</v>
      </c>
      <c r="J3149">
        <v>701.05094090310001</v>
      </c>
      <c r="L3149" t="s">
        <v>20</v>
      </c>
      <c r="M3149" t="s">
        <v>11791</v>
      </c>
    </row>
    <row r="3150" spans="1:13" x14ac:dyDescent="0.25">
      <c r="A3150">
        <v>6983801</v>
      </c>
      <c r="B3150" t="s">
        <v>11792</v>
      </c>
      <c r="C3150" t="str">
        <f>"9780520301368"</f>
        <v>9780520301368</v>
      </c>
      <c r="D3150" t="str">
        <f>"9780520972179"</f>
        <v>9780520972179</v>
      </c>
      <c r="E3150" t="s">
        <v>10537</v>
      </c>
      <c r="F3150" s="1">
        <v>43480</v>
      </c>
      <c r="G3150" t="s">
        <v>11793</v>
      </c>
      <c r="H3150" t="s">
        <v>64</v>
      </c>
      <c r="J3150" t="s">
        <v>11794</v>
      </c>
      <c r="L3150" t="s">
        <v>20</v>
      </c>
      <c r="M3150" t="s">
        <v>11795</v>
      </c>
    </row>
    <row r="3151" spans="1:13" x14ac:dyDescent="0.25">
      <c r="A3151">
        <v>6983899</v>
      </c>
      <c r="B3151" t="s">
        <v>11796</v>
      </c>
      <c r="C3151" t="str">
        <f>"9780520307056"</f>
        <v>9780520307056</v>
      </c>
      <c r="D3151" t="str">
        <f>"9780520973749"</f>
        <v>9780520973749</v>
      </c>
      <c r="E3151" t="s">
        <v>10537</v>
      </c>
      <c r="F3151" s="1">
        <v>43683</v>
      </c>
      <c r="G3151" t="s">
        <v>11797</v>
      </c>
      <c r="H3151" t="s">
        <v>310</v>
      </c>
      <c r="J3151">
        <v>294.50903399999999</v>
      </c>
      <c r="L3151" t="s">
        <v>20</v>
      </c>
      <c r="M3151" t="s">
        <v>11798</v>
      </c>
    </row>
    <row r="3152" spans="1:13" x14ac:dyDescent="0.25">
      <c r="A3152">
        <v>6983941</v>
      </c>
      <c r="B3152" t="s">
        <v>11799</v>
      </c>
      <c r="C3152" t="str">
        <f>"9780520300934"</f>
        <v>9780520300934</v>
      </c>
      <c r="D3152" t="str">
        <f>"9780520972117"</f>
        <v>9780520972117</v>
      </c>
      <c r="E3152" t="s">
        <v>10537</v>
      </c>
      <c r="F3152" s="1">
        <v>43767</v>
      </c>
      <c r="G3152" t="s">
        <v>11800</v>
      </c>
      <c r="H3152" t="s">
        <v>64</v>
      </c>
      <c r="J3152">
        <v>302.23109729999999</v>
      </c>
      <c r="L3152" t="s">
        <v>20</v>
      </c>
      <c r="M3152" t="s">
        <v>11801</v>
      </c>
    </row>
    <row r="3153" spans="1:13" x14ac:dyDescent="0.25">
      <c r="A3153">
        <v>6983961</v>
      </c>
      <c r="B3153" t="s">
        <v>11802</v>
      </c>
      <c r="C3153" t="str">
        <f>"9780520299436"</f>
        <v>9780520299436</v>
      </c>
      <c r="D3153" t="str">
        <f>"9780520971158"</f>
        <v>9780520971158</v>
      </c>
      <c r="E3153" t="s">
        <v>10537</v>
      </c>
      <c r="F3153" s="1">
        <v>43585</v>
      </c>
      <c r="G3153" t="s">
        <v>11803</v>
      </c>
      <c r="H3153" t="s">
        <v>139</v>
      </c>
      <c r="L3153" t="s">
        <v>20</v>
      </c>
      <c r="M3153" t="s">
        <v>11804</v>
      </c>
    </row>
    <row r="3154" spans="1:13" x14ac:dyDescent="0.25">
      <c r="A3154">
        <v>6984006</v>
      </c>
      <c r="B3154" t="s">
        <v>11805</v>
      </c>
      <c r="C3154" t="str">
        <f>"9780520303621"</f>
        <v>9780520303621</v>
      </c>
      <c r="D3154" t="str">
        <f>"9780520972773"</f>
        <v>9780520972773</v>
      </c>
      <c r="E3154" t="s">
        <v>10537</v>
      </c>
      <c r="F3154" s="1">
        <v>43592</v>
      </c>
      <c r="G3154" t="s">
        <v>11806</v>
      </c>
      <c r="H3154" t="s">
        <v>246</v>
      </c>
      <c r="J3154">
        <v>791.43340899999998</v>
      </c>
      <c r="L3154" t="s">
        <v>20</v>
      </c>
      <c r="M3154" t="s">
        <v>11807</v>
      </c>
    </row>
    <row r="3155" spans="1:13" x14ac:dyDescent="0.25">
      <c r="A3155">
        <v>6984059</v>
      </c>
      <c r="B3155" t="s">
        <v>11808</v>
      </c>
      <c r="C3155" t="str">
        <f>"9780520316089"</f>
        <v>9780520316089</v>
      </c>
      <c r="D3155" t="str">
        <f>"9780520974135"</f>
        <v>9780520974135</v>
      </c>
      <c r="E3155" t="s">
        <v>10537</v>
      </c>
      <c r="F3155" s="1">
        <v>43725</v>
      </c>
      <c r="G3155" t="s">
        <v>11809</v>
      </c>
      <c r="H3155" t="s">
        <v>139</v>
      </c>
      <c r="L3155" t="s">
        <v>20</v>
      </c>
      <c r="M3155" t="s">
        <v>11810</v>
      </c>
    </row>
    <row r="3156" spans="1:13" x14ac:dyDescent="0.25">
      <c r="A3156">
        <v>6984146</v>
      </c>
      <c r="B3156" t="s">
        <v>11811</v>
      </c>
      <c r="C3156" t="str">
        <f>"9780520300804"</f>
        <v>9780520300804</v>
      </c>
      <c r="D3156" t="str">
        <f>"9780520972032"</f>
        <v>9780520972032</v>
      </c>
      <c r="E3156" t="s">
        <v>10537</v>
      </c>
      <c r="F3156" s="1">
        <v>43802</v>
      </c>
      <c r="G3156" t="s">
        <v>11812</v>
      </c>
      <c r="H3156" t="s">
        <v>246</v>
      </c>
      <c r="J3156">
        <v>780.95500000000004</v>
      </c>
      <c r="L3156" t="s">
        <v>20</v>
      </c>
      <c r="M3156" t="s">
        <v>11813</v>
      </c>
    </row>
    <row r="3157" spans="1:13" x14ac:dyDescent="0.25">
      <c r="A3157">
        <v>6984221</v>
      </c>
      <c r="B3157" t="s">
        <v>11814</v>
      </c>
      <c r="C3157" t="str">
        <f>"9780520303690"</f>
        <v>9780520303690</v>
      </c>
      <c r="D3157" t="str">
        <f>"9780520972827"</f>
        <v>9780520972827</v>
      </c>
      <c r="E3157" t="s">
        <v>10537</v>
      </c>
      <c r="F3157" s="1">
        <v>43585</v>
      </c>
      <c r="G3157" t="s">
        <v>11815</v>
      </c>
      <c r="H3157" t="s">
        <v>64</v>
      </c>
      <c r="J3157">
        <v>305.55095109044998</v>
      </c>
      <c r="L3157" t="s">
        <v>20</v>
      </c>
      <c r="M3157" t="s">
        <v>11816</v>
      </c>
    </row>
    <row r="3158" spans="1:13" x14ac:dyDescent="0.25">
      <c r="A3158">
        <v>6984226</v>
      </c>
      <c r="B3158" t="s">
        <v>11817</v>
      </c>
      <c r="C3158" t="str">
        <f>"9780520298996"</f>
        <v>9780520298996</v>
      </c>
      <c r="D3158" t="str">
        <f>"9780520970922"</f>
        <v>9780520970922</v>
      </c>
      <c r="E3158" t="s">
        <v>10537</v>
      </c>
      <c r="F3158" s="1">
        <v>43599</v>
      </c>
      <c r="G3158" t="s">
        <v>11818</v>
      </c>
      <c r="H3158" t="s">
        <v>246</v>
      </c>
      <c r="J3158">
        <v>709.2</v>
      </c>
      <c r="L3158" t="s">
        <v>20</v>
      </c>
      <c r="M3158" t="s">
        <v>11819</v>
      </c>
    </row>
    <row r="3159" spans="1:13" x14ac:dyDescent="0.25">
      <c r="A3159">
        <v>6984274</v>
      </c>
      <c r="B3159" t="s">
        <v>11820</v>
      </c>
      <c r="C3159" t="str">
        <f>"9780520301665"</f>
        <v>9780520301665</v>
      </c>
      <c r="D3159" t="str">
        <f>"9780520972230"</f>
        <v>9780520972230</v>
      </c>
      <c r="E3159" t="s">
        <v>10537</v>
      </c>
      <c r="F3159" s="1">
        <v>43641</v>
      </c>
      <c r="G3159" t="s">
        <v>11821</v>
      </c>
      <c r="H3159" t="s">
        <v>64</v>
      </c>
      <c r="J3159">
        <v>306.48460811095401</v>
      </c>
      <c r="L3159" t="s">
        <v>20</v>
      </c>
      <c r="M3159" t="s">
        <v>11822</v>
      </c>
    </row>
    <row r="3160" spans="1:13" x14ac:dyDescent="0.25">
      <c r="A3160">
        <v>6984280</v>
      </c>
      <c r="B3160" t="s">
        <v>11823</v>
      </c>
      <c r="C3160" t="str">
        <f>"9780520306332"</f>
        <v>9780520306332</v>
      </c>
      <c r="D3160" t="str">
        <f>"9780520973688"</f>
        <v>9780520973688</v>
      </c>
      <c r="E3160" t="s">
        <v>10537</v>
      </c>
      <c r="F3160" s="1">
        <v>43721</v>
      </c>
      <c r="G3160" t="s">
        <v>11824</v>
      </c>
      <c r="H3160" t="s">
        <v>70</v>
      </c>
      <c r="J3160">
        <v>891.44093820000001</v>
      </c>
      <c r="L3160" t="s">
        <v>20</v>
      </c>
      <c r="M3160" t="s">
        <v>11825</v>
      </c>
    </row>
    <row r="3161" spans="1:13" x14ac:dyDescent="0.25">
      <c r="A3161">
        <v>6984282</v>
      </c>
      <c r="B3161" t="s">
        <v>11826</v>
      </c>
      <c r="C3161" t="str">
        <f>"9780520302402"</f>
        <v>9780520302402</v>
      </c>
      <c r="D3161" t="str">
        <f>"9780520972483"</f>
        <v>9780520972483</v>
      </c>
      <c r="E3161" t="s">
        <v>10537</v>
      </c>
      <c r="F3161" s="1">
        <v>43676</v>
      </c>
      <c r="G3161" t="s">
        <v>11827</v>
      </c>
      <c r="H3161" t="s">
        <v>64</v>
      </c>
      <c r="J3161">
        <v>306.3</v>
      </c>
      <c r="L3161" t="s">
        <v>20</v>
      </c>
      <c r="M3161" t="s">
        <v>11828</v>
      </c>
    </row>
    <row r="3162" spans="1:13" x14ac:dyDescent="0.25">
      <c r="A3162">
        <v>6984340</v>
      </c>
      <c r="B3162" t="s">
        <v>11829</v>
      </c>
      <c r="C3162" t="str">
        <f>"9780520300927"</f>
        <v>9780520300927</v>
      </c>
      <c r="D3162" t="str">
        <f>"9780520972100"</f>
        <v>9780520972100</v>
      </c>
      <c r="E3162" t="s">
        <v>10537</v>
      </c>
      <c r="F3162" s="1">
        <v>43564</v>
      </c>
      <c r="G3162" t="s">
        <v>11830</v>
      </c>
      <c r="H3162" t="s">
        <v>851</v>
      </c>
      <c r="J3162" t="s">
        <v>11831</v>
      </c>
      <c r="L3162" t="s">
        <v>20</v>
      </c>
      <c r="M3162" t="s">
        <v>11832</v>
      </c>
    </row>
    <row r="3163" spans="1:13" x14ac:dyDescent="0.25">
      <c r="A3163">
        <v>6984343</v>
      </c>
      <c r="B3163" t="s">
        <v>11833</v>
      </c>
      <c r="C3163" t="str">
        <f>"9780520296961"</f>
        <v>9780520296961</v>
      </c>
      <c r="D3163" t="str">
        <f>"9780520969490"</f>
        <v>9780520969490</v>
      </c>
      <c r="E3163" t="s">
        <v>10537</v>
      </c>
      <c r="F3163" s="1">
        <v>43571</v>
      </c>
      <c r="G3163" t="s">
        <v>11834</v>
      </c>
      <c r="H3163" t="s">
        <v>64</v>
      </c>
      <c r="J3163" t="s">
        <v>11835</v>
      </c>
      <c r="L3163" t="s">
        <v>20</v>
      </c>
      <c r="M3163" t="s">
        <v>11836</v>
      </c>
    </row>
    <row r="3164" spans="1:13" x14ac:dyDescent="0.25">
      <c r="A3164">
        <v>6984390</v>
      </c>
      <c r="B3164" t="s">
        <v>11837</v>
      </c>
      <c r="C3164" t="str">
        <f>"9780520304529"</f>
        <v>9780520304529</v>
      </c>
      <c r="D3164" t="str">
        <f>"9780520973152"</f>
        <v>9780520973152</v>
      </c>
      <c r="E3164" t="s">
        <v>10537</v>
      </c>
      <c r="F3164" s="1">
        <v>43718</v>
      </c>
      <c r="G3164" t="s">
        <v>11838</v>
      </c>
      <c r="H3164" t="s">
        <v>246</v>
      </c>
      <c r="J3164" t="s">
        <v>11839</v>
      </c>
      <c r="L3164" t="s">
        <v>20</v>
      </c>
      <c r="M3164" t="s">
        <v>11840</v>
      </c>
    </row>
    <row r="3165" spans="1:13" x14ac:dyDescent="0.25">
      <c r="A3165">
        <v>6984444</v>
      </c>
      <c r="B3165" t="s">
        <v>11841</v>
      </c>
      <c r="C3165" t="str">
        <f>"9780520303652"</f>
        <v>9780520303652</v>
      </c>
      <c r="D3165" t="str">
        <f>"9780520972797"</f>
        <v>9780520972797</v>
      </c>
      <c r="E3165" t="s">
        <v>10537</v>
      </c>
      <c r="F3165" s="1">
        <v>43480</v>
      </c>
      <c r="G3165" t="s">
        <v>11842</v>
      </c>
      <c r="H3165" t="s">
        <v>2368</v>
      </c>
      <c r="J3165" t="s">
        <v>11843</v>
      </c>
      <c r="L3165" t="s">
        <v>20</v>
      </c>
      <c r="M3165" t="s">
        <v>11844</v>
      </c>
    </row>
    <row r="3166" spans="1:13" x14ac:dyDescent="0.25">
      <c r="A3166">
        <v>6984448</v>
      </c>
      <c r="B3166" t="s">
        <v>11845</v>
      </c>
      <c r="C3166" t="str">
        <f>""</f>
        <v/>
      </c>
      <c r="D3166" t="str">
        <f>"9789048542727"</f>
        <v>9789048542727</v>
      </c>
      <c r="E3166" t="s">
        <v>4128</v>
      </c>
      <c r="F3166" s="1">
        <v>43796</v>
      </c>
      <c r="G3166" t="s">
        <v>11846</v>
      </c>
      <c r="H3166" t="s">
        <v>1657</v>
      </c>
      <c r="L3166" t="s">
        <v>20</v>
      </c>
      <c r="M3166" t="s">
        <v>11847</v>
      </c>
    </row>
    <row r="3167" spans="1:13" x14ac:dyDescent="0.25">
      <c r="A3167">
        <v>6986180</v>
      </c>
      <c r="B3167" t="s">
        <v>11848</v>
      </c>
      <c r="C3167" t="str">
        <f>"9780472055388"</f>
        <v>9780472055388</v>
      </c>
      <c r="D3167" t="str">
        <f>"9780472902651"</f>
        <v>9780472902651</v>
      </c>
      <c r="E3167" t="s">
        <v>6708</v>
      </c>
      <c r="F3167" s="1">
        <v>44767</v>
      </c>
      <c r="G3167" t="s">
        <v>11849</v>
      </c>
      <c r="H3167" t="s">
        <v>64</v>
      </c>
      <c r="J3167">
        <v>305.56799999999998</v>
      </c>
      <c r="L3167" t="s">
        <v>20</v>
      </c>
      <c r="M3167" t="s">
        <v>11850</v>
      </c>
    </row>
    <row r="3168" spans="1:13" x14ac:dyDescent="0.25">
      <c r="A3168">
        <v>6986485</v>
      </c>
      <c r="B3168" t="s">
        <v>11851</v>
      </c>
      <c r="C3168" t="str">
        <f>"9783030964733"</f>
        <v>9783030964733</v>
      </c>
      <c r="D3168" t="str">
        <f>"9783030964740"</f>
        <v>9783030964740</v>
      </c>
      <c r="E3168" t="s">
        <v>2905</v>
      </c>
      <c r="F3168" s="1">
        <v>44768</v>
      </c>
      <c r="G3168" t="s">
        <v>11852</v>
      </c>
      <c r="H3168" t="s">
        <v>1753</v>
      </c>
      <c r="I3168" t="s">
        <v>11853</v>
      </c>
      <c r="J3168">
        <v>658.40409668999996</v>
      </c>
      <c r="L3168" t="s">
        <v>20</v>
      </c>
      <c r="M3168" t="s">
        <v>11854</v>
      </c>
    </row>
    <row r="3169" spans="1:13" x14ac:dyDescent="0.25">
      <c r="A3169">
        <v>6986493</v>
      </c>
      <c r="B3169" t="s">
        <v>11855</v>
      </c>
      <c r="C3169" t="str">
        <f>"9783030955076"</f>
        <v>9783030955076</v>
      </c>
      <c r="D3169" t="str">
        <f>"9783030955083"</f>
        <v>9783030955083</v>
      </c>
      <c r="E3169" t="s">
        <v>2905</v>
      </c>
      <c r="F3169" s="1">
        <v>44726</v>
      </c>
      <c r="G3169" t="s">
        <v>11856</v>
      </c>
      <c r="H3169" t="s">
        <v>64</v>
      </c>
      <c r="I3169" t="s">
        <v>5305</v>
      </c>
      <c r="J3169">
        <v>305.3</v>
      </c>
      <c r="L3169" t="s">
        <v>20</v>
      </c>
      <c r="M3169" t="s">
        <v>11857</v>
      </c>
    </row>
    <row r="3170" spans="1:13" x14ac:dyDescent="0.25">
      <c r="A3170">
        <v>6986548</v>
      </c>
      <c r="B3170" t="s">
        <v>11858</v>
      </c>
      <c r="C3170" t="str">
        <f>"9783030958596"</f>
        <v>9783030958596</v>
      </c>
      <c r="D3170" t="str">
        <f>"9783030958602"</f>
        <v>9783030958602</v>
      </c>
      <c r="E3170" t="s">
        <v>2905</v>
      </c>
      <c r="F3170" s="1">
        <v>44729</v>
      </c>
      <c r="G3170" t="s">
        <v>11859</v>
      </c>
      <c r="H3170" t="s">
        <v>4180</v>
      </c>
      <c r="I3170" t="s">
        <v>11860</v>
      </c>
      <c r="L3170" t="s">
        <v>20</v>
      </c>
      <c r="M3170" t="s">
        <v>11861</v>
      </c>
    </row>
    <row r="3171" spans="1:13" x14ac:dyDescent="0.25">
      <c r="A3171">
        <v>6986703</v>
      </c>
      <c r="B3171" t="s">
        <v>11862</v>
      </c>
      <c r="C3171" t="str">
        <f>"9781802070118"</f>
        <v>9781802070118</v>
      </c>
      <c r="D3171" t="str">
        <f>"9781802070675"</f>
        <v>9781802070675</v>
      </c>
      <c r="E3171" t="s">
        <v>4290</v>
      </c>
      <c r="F3171" s="1">
        <v>44713</v>
      </c>
      <c r="G3171" t="s">
        <v>11863</v>
      </c>
      <c r="H3171" t="s">
        <v>4465</v>
      </c>
      <c r="J3171">
        <v>629.22209439999995</v>
      </c>
      <c r="L3171" t="s">
        <v>20</v>
      </c>
      <c r="M3171" t="s">
        <v>11864</v>
      </c>
    </row>
    <row r="3172" spans="1:13" x14ac:dyDescent="0.25">
      <c r="A3172">
        <v>6986729</v>
      </c>
      <c r="B3172" t="s">
        <v>11865</v>
      </c>
      <c r="C3172" t="str">
        <f>"9783030995928"</f>
        <v>9783030995928</v>
      </c>
      <c r="D3172" t="str">
        <f>"9783030995935"</f>
        <v>9783030995935</v>
      </c>
      <c r="E3172" t="s">
        <v>2905</v>
      </c>
      <c r="F3172" s="1">
        <v>44731</v>
      </c>
      <c r="G3172" t="s">
        <v>11866</v>
      </c>
      <c r="H3172" t="s">
        <v>2258</v>
      </c>
      <c r="I3172" t="s">
        <v>11867</v>
      </c>
      <c r="L3172" t="s">
        <v>20</v>
      </c>
      <c r="M3172" t="s">
        <v>11868</v>
      </c>
    </row>
    <row r="3173" spans="1:13" x14ac:dyDescent="0.25">
      <c r="A3173">
        <v>6987625</v>
      </c>
      <c r="B3173" t="s">
        <v>11869</v>
      </c>
      <c r="C3173" t="str">
        <f>"9781799898054"</f>
        <v>9781799898054</v>
      </c>
      <c r="D3173" t="str">
        <f>"9781799898078"</f>
        <v>9781799898078</v>
      </c>
      <c r="E3173" t="s">
        <v>11870</v>
      </c>
      <c r="F3173" s="1">
        <v>44680</v>
      </c>
      <c r="G3173" t="s">
        <v>11871</v>
      </c>
      <c r="H3173" t="s">
        <v>4109</v>
      </c>
      <c r="I3173" t="s">
        <v>11872</v>
      </c>
      <c r="L3173" t="s">
        <v>20</v>
      </c>
      <c r="M3173" t="s">
        <v>11873</v>
      </c>
    </row>
    <row r="3174" spans="1:13" x14ac:dyDescent="0.25">
      <c r="A3174">
        <v>6992134</v>
      </c>
      <c r="B3174" t="s">
        <v>11874</v>
      </c>
      <c r="C3174" t="str">
        <f>"9789811909900"</f>
        <v>9789811909900</v>
      </c>
      <c r="D3174" t="str">
        <f>"9789811909917"</f>
        <v>9789811909917</v>
      </c>
      <c r="E3174" t="s">
        <v>2906</v>
      </c>
      <c r="F3174" s="1">
        <v>44729</v>
      </c>
      <c r="G3174" t="s">
        <v>11875</v>
      </c>
      <c r="H3174" t="s">
        <v>851</v>
      </c>
      <c r="I3174" t="s">
        <v>6057</v>
      </c>
      <c r="L3174" t="s">
        <v>20</v>
      </c>
      <c r="M3174" t="s">
        <v>11876</v>
      </c>
    </row>
    <row r="3175" spans="1:13" x14ac:dyDescent="0.25">
      <c r="A3175">
        <v>6995049</v>
      </c>
      <c r="B3175" t="s">
        <v>11877</v>
      </c>
      <c r="C3175" t="str">
        <f>"9783658375089"</f>
        <v>9783658375089</v>
      </c>
      <c r="D3175" t="str">
        <f>"9783658375096"</f>
        <v>9783658375096</v>
      </c>
      <c r="E3175" t="s">
        <v>4472</v>
      </c>
      <c r="F3175" s="1">
        <v>44737</v>
      </c>
      <c r="G3175" t="s">
        <v>11878</v>
      </c>
      <c r="H3175" t="s">
        <v>1753</v>
      </c>
      <c r="I3175" t="s">
        <v>4569</v>
      </c>
      <c r="L3175" t="s">
        <v>20</v>
      </c>
      <c r="M3175" t="s">
        <v>11879</v>
      </c>
    </row>
    <row r="3176" spans="1:13" x14ac:dyDescent="0.25">
      <c r="A3176">
        <v>6995527</v>
      </c>
      <c r="B3176" t="s">
        <v>11880</v>
      </c>
      <c r="C3176" t="str">
        <f>"9783031062483"</f>
        <v>9783031062483</v>
      </c>
      <c r="D3176" t="str">
        <f>"9783031062490"</f>
        <v>9783031062490</v>
      </c>
      <c r="E3176" t="s">
        <v>2905</v>
      </c>
      <c r="F3176" s="1">
        <v>44740</v>
      </c>
      <c r="G3176" t="s">
        <v>11881</v>
      </c>
      <c r="H3176" t="s">
        <v>712</v>
      </c>
      <c r="I3176" t="s">
        <v>4584</v>
      </c>
      <c r="L3176" t="s">
        <v>20</v>
      </c>
      <c r="M3176" t="s">
        <v>11882</v>
      </c>
    </row>
    <row r="3177" spans="1:13" x14ac:dyDescent="0.25">
      <c r="A3177">
        <v>6996383</v>
      </c>
      <c r="B3177" t="s">
        <v>11883</v>
      </c>
      <c r="C3177" t="str">
        <f>"9783030961794"</f>
        <v>9783030961794</v>
      </c>
      <c r="D3177" t="str">
        <f>"9783030961800"</f>
        <v>9783030961800</v>
      </c>
      <c r="E3177" t="s">
        <v>2905</v>
      </c>
      <c r="F3177" s="1">
        <v>44734</v>
      </c>
      <c r="G3177" t="s">
        <v>11884</v>
      </c>
      <c r="H3177" t="s">
        <v>64</v>
      </c>
      <c r="I3177" t="s">
        <v>4661</v>
      </c>
      <c r="J3177">
        <v>303.483</v>
      </c>
      <c r="L3177" t="s">
        <v>20</v>
      </c>
      <c r="M3177" t="s">
        <v>11885</v>
      </c>
    </row>
    <row r="3178" spans="1:13" x14ac:dyDescent="0.25">
      <c r="A3178">
        <v>6996396</v>
      </c>
      <c r="B3178" t="s">
        <v>11886</v>
      </c>
      <c r="C3178" t="str">
        <f>"9783030999391"</f>
        <v>9783030999391</v>
      </c>
      <c r="D3178" t="str">
        <f>"9783030999407"</f>
        <v>9783030999407</v>
      </c>
      <c r="E3178" t="s">
        <v>2905</v>
      </c>
      <c r="F3178" s="1">
        <v>44744</v>
      </c>
      <c r="G3178" t="s">
        <v>11887</v>
      </c>
      <c r="H3178" t="s">
        <v>120</v>
      </c>
      <c r="I3178" t="s">
        <v>5108</v>
      </c>
      <c r="J3178">
        <v>307.1216</v>
      </c>
      <c r="L3178" t="s">
        <v>20</v>
      </c>
      <c r="M3178" t="s">
        <v>11888</v>
      </c>
    </row>
    <row r="3179" spans="1:13" x14ac:dyDescent="0.25">
      <c r="A3179">
        <v>6997687</v>
      </c>
      <c r="B3179" t="s">
        <v>11889</v>
      </c>
      <c r="C3179" t="str">
        <f>"9783658378028"</f>
        <v>9783658378028</v>
      </c>
      <c r="D3179" t="str">
        <f>"9783658378035"</f>
        <v>9783658378035</v>
      </c>
      <c r="E3179" t="s">
        <v>4472</v>
      </c>
      <c r="F3179" s="1">
        <v>44750</v>
      </c>
      <c r="G3179" t="s">
        <v>11890</v>
      </c>
      <c r="H3179" t="s">
        <v>1753</v>
      </c>
      <c r="I3179" t="s">
        <v>5029</v>
      </c>
      <c r="L3179" t="s">
        <v>291</v>
      </c>
      <c r="M3179" t="s">
        <v>11891</v>
      </c>
    </row>
    <row r="3180" spans="1:13" x14ac:dyDescent="0.25">
      <c r="A3180">
        <v>6998216</v>
      </c>
      <c r="B3180" t="s">
        <v>11892</v>
      </c>
      <c r="C3180" t="str">
        <f>"9783030964535"</f>
        <v>9783030964535</v>
      </c>
      <c r="D3180" t="str">
        <f>"9783030964542"</f>
        <v>9783030964542</v>
      </c>
      <c r="E3180" t="s">
        <v>2905</v>
      </c>
      <c r="F3180" s="1">
        <v>44706</v>
      </c>
      <c r="G3180" t="s">
        <v>11893</v>
      </c>
      <c r="H3180" t="s">
        <v>363</v>
      </c>
      <c r="I3180" t="s">
        <v>7384</v>
      </c>
      <c r="J3180">
        <v>379.4</v>
      </c>
      <c r="L3180" t="s">
        <v>20</v>
      </c>
      <c r="M3180" t="s">
        <v>11894</v>
      </c>
    </row>
    <row r="3181" spans="1:13" x14ac:dyDescent="0.25">
      <c r="A3181">
        <v>6998218</v>
      </c>
      <c r="B3181" t="s">
        <v>11895</v>
      </c>
      <c r="C3181" t="str">
        <f>"9783030998073"</f>
        <v>9783030998073</v>
      </c>
      <c r="D3181" t="str">
        <f>"9783030998080"</f>
        <v>9783030998080</v>
      </c>
      <c r="E3181" t="s">
        <v>2905</v>
      </c>
      <c r="F3181" s="1">
        <v>44706</v>
      </c>
      <c r="G3181" t="s">
        <v>11896</v>
      </c>
      <c r="H3181" t="s">
        <v>1753</v>
      </c>
      <c r="I3181" t="s">
        <v>7358</v>
      </c>
      <c r="L3181" t="s">
        <v>20</v>
      </c>
      <c r="M3181" t="s">
        <v>11897</v>
      </c>
    </row>
    <row r="3182" spans="1:13" x14ac:dyDescent="0.25">
      <c r="A3182">
        <v>6998224</v>
      </c>
      <c r="B3182" t="s">
        <v>11898</v>
      </c>
      <c r="C3182" t="str">
        <f>"9783030950996"</f>
        <v>9783030950996</v>
      </c>
      <c r="D3182" t="str">
        <f>"9783030951009"</f>
        <v>9783030951009</v>
      </c>
      <c r="E3182" t="s">
        <v>2905</v>
      </c>
      <c r="F3182" s="1">
        <v>44706</v>
      </c>
      <c r="G3182" t="s">
        <v>11899</v>
      </c>
      <c r="H3182" t="s">
        <v>64</v>
      </c>
      <c r="I3182" t="s">
        <v>11900</v>
      </c>
      <c r="L3182" t="s">
        <v>20</v>
      </c>
      <c r="M3182" t="s">
        <v>11901</v>
      </c>
    </row>
    <row r="3183" spans="1:13" x14ac:dyDescent="0.25">
      <c r="A3183">
        <v>6998234</v>
      </c>
      <c r="B3183" t="s">
        <v>11902</v>
      </c>
      <c r="C3183" t="str">
        <f>"9783030958794"</f>
        <v>9783030958794</v>
      </c>
      <c r="D3183" t="str">
        <f>"9783030958800"</f>
        <v>9783030958800</v>
      </c>
      <c r="E3183" t="s">
        <v>2905</v>
      </c>
      <c r="F3183" s="1">
        <v>44764</v>
      </c>
      <c r="G3183" t="s">
        <v>11903</v>
      </c>
      <c r="H3183" t="s">
        <v>310</v>
      </c>
      <c r="I3183" t="s">
        <v>5718</v>
      </c>
      <c r="L3183" t="s">
        <v>20</v>
      </c>
      <c r="M3183" t="s">
        <v>11904</v>
      </c>
    </row>
    <row r="3184" spans="1:13" x14ac:dyDescent="0.25">
      <c r="A3184">
        <v>6998235</v>
      </c>
      <c r="B3184" t="s">
        <v>11905</v>
      </c>
      <c r="C3184" t="str">
        <f>"9783030952198"</f>
        <v>9783030952198</v>
      </c>
      <c r="D3184" t="str">
        <f>"9783030952204"</f>
        <v>9783030952204</v>
      </c>
      <c r="E3184" t="s">
        <v>2905</v>
      </c>
      <c r="F3184" s="1">
        <v>44740</v>
      </c>
      <c r="G3184" t="s">
        <v>11906</v>
      </c>
      <c r="H3184" t="s">
        <v>24</v>
      </c>
      <c r="I3184" t="s">
        <v>11907</v>
      </c>
      <c r="J3184">
        <v>384.334</v>
      </c>
      <c r="L3184" t="s">
        <v>20</v>
      </c>
      <c r="M3184" t="s">
        <v>11908</v>
      </c>
    </row>
    <row r="3185" spans="1:13" x14ac:dyDescent="0.25">
      <c r="A3185">
        <v>7001398</v>
      </c>
      <c r="B3185" t="s">
        <v>11909</v>
      </c>
      <c r="C3185" t="str">
        <f>"9783030948955"</f>
        <v>9783030948955</v>
      </c>
      <c r="D3185" t="str">
        <f>"9783030948962"</f>
        <v>9783030948962</v>
      </c>
      <c r="E3185" t="s">
        <v>2905</v>
      </c>
      <c r="F3185" s="1">
        <v>44710</v>
      </c>
      <c r="G3185" t="s">
        <v>11910</v>
      </c>
      <c r="H3185" t="s">
        <v>2569</v>
      </c>
      <c r="I3185" t="s">
        <v>11911</v>
      </c>
      <c r="L3185" t="s">
        <v>20</v>
      </c>
      <c r="M3185" t="s">
        <v>11912</v>
      </c>
    </row>
    <row r="3186" spans="1:13" x14ac:dyDescent="0.25">
      <c r="A3186">
        <v>7001407</v>
      </c>
      <c r="B3186" t="s">
        <v>11913</v>
      </c>
      <c r="C3186" t="str">
        <f>"9789811917004"</f>
        <v>9789811917004</v>
      </c>
      <c r="D3186" t="str">
        <f>"9789811917011"</f>
        <v>9789811917011</v>
      </c>
      <c r="E3186" t="s">
        <v>2906</v>
      </c>
      <c r="F3186" s="1">
        <v>44754</v>
      </c>
      <c r="G3186" t="s">
        <v>11914</v>
      </c>
      <c r="H3186" t="s">
        <v>11915</v>
      </c>
      <c r="I3186" t="s">
        <v>4239</v>
      </c>
      <c r="L3186" t="s">
        <v>20</v>
      </c>
      <c r="M3186" t="s">
        <v>11916</v>
      </c>
    </row>
    <row r="3187" spans="1:13" x14ac:dyDescent="0.25">
      <c r="A3187">
        <v>7002520</v>
      </c>
      <c r="B3187" t="s">
        <v>11917</v>
      </c>
      <c r="C3187" t="str">
        <f>"9783030981747"</f>
        <v>9783030981747</v>
      </c>
      <c r="D3187" t="str">
        <f>"9783030981754"</f>
        <v>9783030981754</v>
      </c>
      <c r="E3187" t="s">
        <v>2905</v>
      </c>
      <c r="F3187" s="1">
        <v>44742</v>
      </c>
      <c r="G3187" t="s">
        <v>11918</v>
      </c>
      <c r="H3187" t="s">
        <v>266</v>
      </c>
      <c r="I3187" t="s">
        <v>5440</v>
      </c>
      <c r="L3187" t="s">
        <v>20</v>
      </c>
      <c r="M3187" t="s">
        <v>11919</v>
      </c>
    </row>
    <row r="3188" spans="1:13" x14ac:dyDescent="0.25">
      <c r="A3188">
        <v>7002610</v>
      </c>
      <c r="B3188" t="s">
        <v>11920</v>
      </c>
      <c r="C3188" t="str">
        <f>"9783031042331"</f>
        <v>9783031042331</v>
      </c>
      <c r="D3188" t="str">
        <f>"9783031042348"</f>
        <v>9783031042348</v>
      </c>
      <c r="E3188" t="s">
        <v>2905</v>
      </c>
      <c r="F3188" s="1">
        <v>44746</v>
      </c>
      <c r="G3188" t="s">
        <v>11921</v>
      </c>
      <c r="H3188" t="s">
        <v>5813</v>
      </c>
      <c r="I3188" t="s">
        <v>4239</v>
      </c>
      <c r="L3188" t="s">
        <v>20</v>
      </c>
      <c r="M3188" t="s">
        <v>11922</v>
      </c>
    </row>
    <row r="3189" spans="1:13" x14ac:dyDescent="0.25">
      <c r="A3189">
        <v>7002616</v>
      </c>
      <c r="B3189" t="s">
        <v>11923</v>
      </c>
      <c r="C3189" t="str">
        <f>"9783030989842"</f>
        <v>9783030989842</v>
      </c>
      <c r="D3189" t="str">
        <f>"9783030989859"</f>
        <v>9783030989859</v>
      </c>
      <c r="E3189" t="s">
        <v>2905</v>
      </c>
      <c r="F3189" s="1">
        <v>44747</v>
      </c>
      <c r="G3189" t="s">
        <v>11924</v>
      </c>
      <c r="H3189" t="s">
        <v>11925</v>
      </c>
      <c r="I3189" t="s">
        <v>5108</v>
      </c>
      <c r="J3189">
        <v>362.1</v>
      </c>
      <c r="L3189" t="s">
        <v>20</v>
      </c>
      <c r="M3189" t="s">
        <v>11926</v>
      </c>
    </row>
    <row r="3190" spans="1:13" x14ac:dyDescent="0.25">
      <c r="A3190">
        <v>7002626</v>
      </c>
      <c r="B3190" t="s">
        <v>11927</v>
      </c>
      <c r="C3190" t="str">
        <f>"9789811696398"</f>
        <v>9789811696398</v>
      </c>
      <c r="D3190" t="str">
        <f>"9789811696404"</f>
        <v>9789811696404</v>
      </c>
      <c r="E3190" t="s">
        <v>3313</v>
      </c>
      <c r="F3190" s="1">
        <v>44746</v>
      </c>
      <c r="G3190" t="s">
        <v>11928</v>
      </c>
      <c r="H3190" t="s">
        <v>363</v>
      </c>
      <c r="I3190" t="s">
        <v>6563</v>
      </c>
      <c r="J3190">
        <v>370.1</v>
      </c>
      <c r="L3190" t="s">
        <v>20</v>
      </c>
      <c r="M3190" t="s">
        <v>11929</v>
      </c>
    </row>
    <row r="3191" spans="1:13" x14ac:dyDescent="0.25">
      <c r="A3191">
        <v>7007371</v>
      </c>
      <c r="B3191" t="s">
        <v>11930</v>
      </c>
      <c r="C3191" t="str">
        <f>"9789811916038"</f>
        <v>9789811916038</v>
      </c>
      <c r="D3191" t="str">
        <f>"9789811916045"</f>
        <v>9789811916045</v>
      </c>
      <c r="E3191" t="s">
        <v>3313</v>
      </c>
      <c r="F3191" s="1">
        <v>44713</v>
      </c>
      <c r="G3191" t="s">
        <v>11931</v>
      </c>
      <c r="H3191" t="s">
        <v>363</v>
      </c>
      <c r="I3191" t="s">
        <v>6563</v>
      </c>
      <c r="J3191">
        <v>379</v>
      </c>
      <c r="L3191" t="s">
        <v>20</v>
      </c>
      <c r="M3191" t="s">
        <v>11932</v>
      </c>
    </row>
    <row r="3192" spans="1:13" x14ac:dyDescent="0.25">
      <c r="A3192">
        <v>7007849</v>
      </c>
      <c r="B3192" t="s">
        <v>11933</v>
      </c>
      <c r="C3192" t="str">
        <f>"9780472117833"</f>
        <v>9780472117833</v>
      </c>
      <c r="D3192" t="str">
        <f>"9780472900749"</f>
        <v>9780472900749</v>
      </c>
      <c r="E3192" t="s">
        <v>6708</v>
      </c>
      <c r="F3192" s="1">
        <v>40864</v>
      </c>
      <c r="G3192" t="s">
        <v>11934</v>
      </c>
      <c r="H3192" t="s">
        <v>310</v>
      </c>
      <c r="I3192" t="s">
        <v>11935</v>
      </c>
      <c r="J3192" t="s">
        <v>11936</v>
      </c>
      <c r="L3192" t="s">
        <v>20</v>
      </c>
      <c r="M3192" t="s">
        <v>11937</v>
      </c>
    </row>
    <row r="3193" spans="1:13" x14ac:dyDescent="0.25">
      <c r="A3193">
        <v>7007850</v>
      </c>
      <c r="B3193" t="s">
        <v>11938</v>
      </c>
      <c r="C3193" t="str">
        <f>"9780939512539"</f>
        <v>9780939512539</v>
      </c>
      <c r="D3193" t="str">
        <f>"9780472902156"</f>
        <v>9780472902156</v>
      </c>
      <c r="E3193" t="s">
        <v>7076</v>
      </c>
      <c r="F3193" s="1">
        <v>33846</v>
      </c>
      <c r="G3193" t="s">
        <v>8820</v>
      </c>
      <c r="H3193" t="s">
        <v>70</v>
      </c>
      <c r="I3193" t="s">
        <v>11939</v>
      </c>
      <c r="J3193">
        <v>895.11440800000003</v>
      </c>
      <c r="L3193" t="s">
        <v>20</v>
      </c>
      <c r="M3193" t="s">
        <v>11940</v>
      </c>
    </row>
    <row r="3194" spans="1:13" x14ac:dyDescent="0.25">
      <c r="A3194">
        <v>7007851</v>
      </c>
      <c r="B3194" t="s">
        <v>11941</v>
      </c>
      <c r="C3194" t="str">
        <f>"9781929280490"</f>
        <v>9781929280490</v>
      </c>
      <c r="D3194" t="str">
        <f>"9780472901968"</f>
        <v>9780472901968</v>
      </c>
      <c r="E3194" t="s">
        <v>7076</v>
      </c>
      <c r="F3194" s="1">
        <v>39843</v>
      </c>
      <c r="G3194" t="s">
        <v>11942</v>
      </c>
      <c r="H3194" t="s">
        <v>11943</v>
      </c>
      <c r="I3194" t="s">
        <v>11944</v>
      </c>
      <c r="J3194" t="s">
        <v>11945</v>
      </c>
      <c r="L3194" t="s">
        <v>20</v>
      </c>
      <c r="M3194" t="s">
        <v>11946</v>
      </c>
    </row>
    <row r="3195" spans="1:13" x14ac:dyDescent="0.25">
      <c r="A3195">
        <v>7007852</v>
      </c>
      <c r="B3195" t="s">
        <v>11947</v>
      </c>
      <c r="C3195" t="str">
        <f>"9780891480136"</f>
        <v>9780891480136</v>
      </c>
      <c r="D3195" t="str">
        <f>"9780472901722"</f>
        <v>9780472901722</v>
      </c>
      <c r="E3195" t="s">
        <v>7081</v>
      </c>
      <c r="F3195" s="1">
        <v>28491</v>
      </c>
      <c r="G3195" t="s">
        <v>11948</v>
      </c>
      <c r="H3195" t="s">
        <v>64</v>
      </c>
      <c r="I3195" t="s">
        <v>7230</v>
      </c>
      <c r="L3195" t="s">
        <v>20</v>
      </c>
      <c r="M3195" t="s">
        <v>11949</v>
      </c>
    </row>
    <row r="3196" spans="1:13" x14ac:dyDescent="0.25">
      <c r="A3196">
        <v>7007853</v>
      </c>
      <c r="B3196" t="s">
        <v>11950</v>
      </c>
      <c r="C3196" t="str">
        <f>"9780472119097"</f>
        <v>9780472119097</v>
      </c>
      <c r="D3196" t="str">
        <f>"9780472900022"</f>
        <v>9780472900022</v>
      </c>
      <c r="E3196" t="s">
        <v>6708</v>
      </c>
      <c r="F3196" s="1">
        <v>41897</v>
      </c>
      <c r="G3196" t="s">
        <v>11951</v>
      </c>
      <c r="H3196" t="s">
        <v>1951</v>
      </c>
      <c r="I3196" t="s">
        <v>11952</v>
      </c>
      <c r="J3196" t="s">
        <v>11953</v>
      </c>
      <c r="L3196" t="s">
        <v>20</v>
      </c>
      <c r="M3196" t="s">
        <v>11954</v>
      </c>
    </row>
    <row r="3197" spans="1:13" x14ac:dyDescent="0.25">
      <c r="A3197">
        <v>7007854</v>
      </c>
      <c r="B3197" t="s">
        <v>11955</v>
      </c>
      <c r="C3197" t="str">
        <f>"9780472118359"</f>
        <v>9780472118359</v>
      </c>
      <c r="D3197" t="str">
        <f>"9780472902545"</f>
        <v>9780472902545</v>
      </c>
      <c r="E3197" t="s">
        <v>6708</v>
      </c>
      <c r="F3197" s="1">
        <v>41120</v>
      </c>
      <c r="G3197" t="s">
        <v>11956</v>
      </c>
      <c r="H3197" t="s">
        <v>3986</v>
      </c>
      <c r="I3197" t="s">
        <v>11957</v>
      </c>
      <c r="J3197" t="s">
        <v>11958</v>
      </c>
      <c r="L3197" t="s">
        <v>20</v>
      </c>
      <c r="M3197" t="s">
        <v>11959</v>
      </c>
    </row>
    <row r="3198" spans="1:13" x14ac:dyDescent="0.25">
      <c r="A3198">
        <v>7007855</v>
      </c>
      <c r="B3198" t="s">
        <v>11960</v>
      </c>
      <c r="C3198" t="str">
        <f>"9780891480648"</f>
        <v>9780891480648</v>
      </c>
      <c r="D3198" t="str">
        <f>"9780472901692"</f>
        <v>9780472901692</v>
      </c>
      <c r="E3198" t="s">
        <v>7081</v>
      </c>
      <c r="F3198" s="1">
        <v>33239</v>
      </c>
      <c r="G3198" t="s">
        <v>11961</v>
      </c>
      <c r="H3198" t="s">
        <v>851</v>
      </c>
      <c r="I3198" t="s">
        <v>11962</v>
      </c>
      <c r="L3198" t="s">
        <v>20</v>
      </c>
      <c r="M3198" t="s">
        <v>11963</v>
      </c>
    </row>
    <row r="3199" spans="1:13" x14ac:dyDescent="0.25">
      <c r="A3199">
        <v>7007856</v>
      </c>
      <c r="B3199" t="s">
        <v>11964</v>
      </c>
      <c r="C3199" t="str">
        <f>"9780891480853"</f>
        <v>9780891480853</v>
      </c>
      <c r="D3199" t="str">
        <f>"9780472901739"</f>
        <v>9780472901739</v>
      </c>
      <c r="E3199" t="s">
        <v>7081</v>
      </c>
      <c r="F3199" s="1">
        <v>36921</v>
      </c>
      <c r="G3199" t="s">
        <v>11965</v>
      </c>
      <c r="H3199" t="s">
        <v>139</v>
      </c>
      <c r="I3199" t="s">
        <v>11966</v>
      </c>
      <c r="J3199">
        <v>954.4</v>
      </c>
      <c r="L3199" t="s">
        <v>20</v>
      </c>
      <c r="M3199" t="s">
        <v>11967</v>
      </c>
    </row>
    <row r="3200" spans="1:13" x14ac:dyDescent="0.25">
      <c r="A3200">
        <v>7007857</v>
      </c>
      <c r="B3200" t="s">
        <v>11968</v>
      </c>
      <c r="C3200" t="str">
        <f>"9780892640355"</f>
        <v>9780892640355</v>
      </c>
      <c r="D3200" t="str">
        <f>"9780472901326"</f>
        <v>9780472901326</v>
      </c>
      <c r="E3200" t="s">
        <v>7091</v>
      </c>
      <c r="F3200" s="1">
        <v>28491</v>
      </c>
      <c r="G3200" t="s">
        <v>11969</v>
      </c>
      <c r="H3200" t="s">
        <v>70</v>
      </c>
      <c r="I3200" t="s">
        <v>11970</v>
      </c>
      <c r="L3200" t="s">
        <v>20</v>
      </c>
      <c r="M3200" t="s">
        <v>11971</v>
      </c>
    </row>
    <row r="3201" spans="1:13" x14ac:dyDescent="0.25">
      <c r="A3201">
        <v>7007859</v>
      </c>
      <c r="B3201" t="s">
        <v>11972</v>
      </c>
      <c r="C3201" t="str">
        <f>"9780472131273"</f>
        <v>9780472131273</v>
      </c>
      <c r="D3201" t="str">
        <f>"9780472901043"</f>
        <v>9780472901043</v>
      </c>
      <c r="E3201" t="s">
        <v>6708</v>
      </c>
      <c r="F3201" s="1">
        <v>43554</v>
      </c>
      <c r="G3201" t="s">
        <v>11973</v>
      </c>
      <c r="H3201" t="s">
        <v>1178</v>
      </c>
      <c r="I3201" t="s">
        <v>11974</v>
      </c>
      <c r="L3201" t="s">
        <v>20</v>
      </c>
      <c r="M3201" t="s">
        <v>11975</v>
      </c>
    </row>
    <row r="3202" spans="1:13" x14ac:dyDescent="0.25">
      <c r="A3202">
        <v>7007860</v>
      </c>
      <c r="B3202" t="s">
        <v>11976</v>
      </c>
      <c r="C3202" t="str">
        <f>"9780472115723"</f>
        <v>9780472115723</v>
      </c>
      <c r="D3202" t="str">
        <f>"9780472900886"</f>
        <v>9780472900886</v>
      </c>
      <c r="E3202" t="s">
        <v>6708</v>
      </c>
      <c r="F3202" s="1">
        <v>39932</v>
      </c>
      <c r="G3202" t="s">
        <v>11977</v>
      </c>
      <c r="H3202" t="s">
        <v>30</v>
      </c>
      <c r="I3202" t="s">
        <v>3115</v>
      </c>
      <c r="J3202" t="s">
        <v>11978</v>
      </c>
      <c r="L3202" t="s">
        <v>20</v>
      </c>
      <c r="M3202" t="s">
        <v>11979</v>
      </c>
    </row>
    <row r="3203" spans="1:13" x14ac:dyDescent="0.25">
      <c r="A3203">
        <v>7007861</v>
      </c>
      <c r="B3203" t="s">
        <v>11980</v>
      </c>
      <c r="C3203" t="str">
        <f>"9780472118724"</f>
        <v>9780472118724</v>
      </c>
      <c r="D3203" t="str">
        <f>"9780472900787"</f>
        <v>9780472900787</v>
      </c>
      <c r="E3203" t="s">
        <v>6708</v>
      </c>
      <c r="F3203" s="1">
        <v>41373</v>
      </c>
      <c r="G3203" t="s">
        <v>11981</v>
      </c>
      <c r="H3203" t="s">
        <v>363</v>
      </c>
      <c r="I3203" t="s">
        <v>11982</v>
      </c>
      <c r="J3203">
        <v>372.21097300000002</v>
      </c>
      <c r="L3203" t="s">
        <v>20</v>
      </c>
      <c r="M3203" t="s">
        <v>11983</v>
      </c>
    </row>
    <row r="3204" spans="1:13" x14ac:dyDescent="0.25">
      <c r="A3204">
        <v>7007862</v>
      </c>
      <c r="B3204" t="s">
        <v>11984</v>
      </c>
      <c r="C3204" t="str">
        <f>"9780472070886"</f>
        <v>9780472070886</v>
      </c>
      <c r="D3204" t="str">
        <f>"9780472900916"</f>
        <v>9780472900916</v>
      </c>
      <c r="E3204" t="s">
        <v>6708</v>
      </c>
      <c r="F3204" s="1">
        <v>40213</v>
      </c>
      <c r="G3204" t="s">
        <v>11985</v>
      </c>
      <c r="H3204" t="s">
        <v>64</v>
      </c>
      <c r="I3204" t="s">
        <v>11986</v>
      </c>
      <c r="J3204">
        <v>303.60973000000001</v>
      </c>
      <c r="L3204" t="s">
        <v>20</v>
      </c>
      <c r="M3204" t="s">
        <v>11987</v>
      </c>
    </row>
    <row r="3205" spans="1:13" x14ac:dyDescent="0.25">
      <c r="A3205">
        <v>7007863</v>
      </c>
      <c r="B3205" t="s">
        <v>11988</v>
      </c>
      <c r="C3205" t="str">
        <f>"9780939512904"</f>
        <v>9780939512904</v>
      </c>
      <c r="D3205" t="str">
        <f>"9780472902163"</f>
        <v>9780472902163</v>
      </c>
      <c r="E3205" t="s">
        <v>7076</v>
      </c>
      <c r="F3205" s="1">
        <v>36190</v>
      </c>
      <c r="G3205" t="s">
        <v>11989</v>
      </c>
      <c r="H3205" t="s">
        <v>70</v>
      </c>
      <c r="I3205" t="s">
        <v>11990</v>
      </c>
      <c r="J3205">
        <v>895.63440000000003</v>
      </c>
      <c r="L3205" t="s">
        <v>20</v>
      </c>
      <c r="M3205" t="s">
        <v>11991</v>
      </c>
    </row>
    <row r="3206" spans="1:13" x14ac:dyDescent="0.25">
      <c r="A3206">
        <v>7007865</v>
      </c>
      <c r="B3206" t="s">
        <v>11992</v>
      </c>
      <c r="C3206" t="str">
        <f>"9780892641345"</f>
        <v>9780892641345</v>
      </c>
      <c r="D3206" t="str">
        <f>"9780472901753"</f>
        <v>9780472901753</v>
      </c>
      <c r="E3206" t="s">
        <v>7091</v>
      </c>
      <c r="F3206" s="1">
        <v>36646</v>
      </c>
      <c r="G3206" t="s">
        <v>11993</v>
      </c>
      <c r="H3206" t="s">
        <v>41</v>
      </c>
      <c r="I3206" t="s">
        <v>11994</v>
      </c>
      <c r="J3206">
        <v>331.54409518</v>
      </c>
      <c r="L3206" t="s">
        <v>20</v>
      </c>
      <c r="M3206" t="s">
        <v>11995</v>
      </c>
    </row>
    <row r="3207" spans="1:13" x14ac:dyDescent="0.25">
      <c r="A3207">
        <v>7007866</v>
      </c>
      <c r="B3207" t="s">
        <v>11996</v>
      </c>
      <c r="C3207" t="str">
        <f>"9780472119554"</f>
        <v>9780472119554</v>
      </c>
      <c r="D3207" t="str">
        <f>"9780472900183"</f>
        <v>9780472900183</v>
      </c>
      <c r="E3207" t="s">
        <v>6708</v>
      </c>
      <c r="F3207" s="1">
        <v>42011</v>
      </c>
      <c r="G3207" t="s">
        <v>11997</v>
      </c>
      <c r="H3207" t="s">
        <v>70</v>
      </c>
      <c r="I3207" t="s">
        <v>11998</v>
      </c>
      <c r="J3207" t="s">
        <v>11999</v>
      </c>
      <c r="L3207" t="s">
        <v>20</v>
      </c>
      <c r="M3207" t="s">
        <v>12000</v>
      </c>
    </row>
    <row r="3208" spans="1:13" x14ac:dyDescent="0.25">
      <c r="A3208">
        <v>7007867</v>
      </c>
      <c r="B3208" t="s">
        <v>12001</v>
      </c>
      <c r="C3208" t="str">
        <f>"9780892640249"</f>
        <v>9780892640249</v>
      </c>
      <c r="D3208" t="str">
        <f>"9780472901838"</f>
        <v>9780472901838</v>
      </c>
      <c r="E3208" t="s">
        <v>7091</v>
      </c>
      <c r="F3208" s="1">
        <v>27760</v>
      </c>
      <c r="G3208" t="s">
        <v>12002</v>
      </c>
      <c r="H3208" t="s">
        <v>139</v>
      </c>
      <c r="I3208" t="s">
        <v>12003</v>
      </c>
      <c r="L3208" t="s">
        <v>20</v>
      </c>
      <c r="M3208" t="s">
        <v>12004</v>
      </c>
    </row>
    <row r="3209" spans="1:13" x14ac:dyDescent="0.25">
      <c r="A3209">
        <v>7007868</v>
      </c>
      <c r="B3209" t="s">
        <v>12005</v>
      </c>
      <c r="C3209" t="str">
        <f>"9781929280209"</f>
        <v>9781929280209</v>
      </c>
      <c r="D3209" t="str">
        <f>"9780472901937"</f>
        <v>9780472901937</v>
      </c>
      <c r="E3209" t="s">
        <v>7076</v>
      </c>
      <c r="F3209" s="1">
        <v>37286</v>
      </c>
      <c r="G3209" t="s">
        <v>12006</v>
      </c>
      <c r="H3209" t="s">
        <v>310</v>
      </c>
      <c r="I3209" t="s">
        <v>12007</v>
      </c>
      <c r="L3209" t="s">
        <v>20</v>
      </c>
      <c r="M3209" t="s">
        <v>12008</v>
      </c>
    </row>
    <row r="3210" spans="1:13" x14ac:dyDescent="0.25">
      <c r="A3210">
        <v>7007869</v>
      </c>
      <c r="B3210" t="s">
        <v>12009</v>
      </c>
      <c r="C3210" t="str">
        <f>"9780892649037"</f>
        <v>9780892649037</v>
      </c>
      <c r="D3210" t="str">
        <f>"9780472901562"</f>
        <v>9780472901562</v>
      </c>
      <c r="E3210" t="s">
        <v>7091</v>
      </c>
      <c r="F3210" s="1">
        <v>26329</v>
      </c>
      <c r="G3210" t="s">
        <v>12010</v>
      </c>
      <c r="H3210" t="s">
        <v>1753</v>
      </c>
      <c r="I3210" t="s">
        <v>12011</v>
      </c>
      <c r="L3210" t="s">
        <v>20</v>
      </c>
      <c r="M3210" t="s">
        <v>12012</v>
      </c>
    </row>
    <row r="3211" spans="1:13" x14ac:dyDescent="0.25">
      <c r="A3211">
        <v>7007871</v>
      </c>
      <c r="B3211" t="s">
        <v>12013</v>
      </c>
      <c r="C3211" t="str">
        <f>"9780472073108"</f>
        <v>9780472073108</v>
      </c>
      <c r="D3211" t="str">
        <f>"9780472900046"</f>
        <v>9780472900046</v>
      </c>
      <c r="E3211" t="s">
        <v>6708</v>
      </c>
      <c r="F3211" s="1">
        <v>42460</v>
      </c>
      <c r="G3211" t="s">
        <v>12014</v>
      </c>
      <c r="H3211" t="s">
        <v>70</v>
      </c>
      <c r="I3211" t="s">
        <v>12015</v>
      </c>
      <c r="J3211" t="s">
        <v>12016</v>
      </c>
      <c r="L3211" t="s">
        <v>20</v>
      </c>
      <c r="M3211" t="s">
        <v>12017</v>
      </c>
    </row>
    <row r="3212" spans="1:13" x14ac:dyDescent="0.25">
      <c r="A3212">
        <v>7007872</v>
      </c>
      <c r="B3212" t="s">
        <v>12018</v>
      </c>
      <c r="C3212" t="str">
        <f>"9780472036165"</f>
        <v>9780472036165</v>
      </c>
      <c r="D3212" t="str">
        <f>"9780472900206"</f>
        <v>9780472900206</v>
      </c>
      <c r="E3212" t="s">
        <v>6708</v>
      </c>
      <c r="F3212" s="1">
        <v>41974</v>
      </c>
      <c r="G3212" t="s">
        <v>12019</v>
      </c>
      <c r="H3212" t="s">
        <v>70</v>
      </c>
      <c r="I3212" t="s">
        <v>12020</v>
      </c>
      <c r="J3212">
        <v>813.6</v>
      </c>
      <c r="L3212" t="s">
        <v>20</v>
      </c>
      <c r="M3212" t="s">
        <v>12021</v>
      </c>
    </row>
    <row r="3213" spans="1:13" x14ac:dyDescent="0.25">
      <c r="A3213">
        <v>7007873</v>
      </c>
      <c r="B3213" t="s">
        <v>12022</v>
      </c>
      <c r="C3213" t="str">
        <f>"9780892640089"</f>
        <v>9780892640089</v>
      </c>
      <c r="D3213" t="str">
        <f>"9780472901548"</f>
        <v>9780472901548</v>
      </c>
      <c r="E3213" t="s">
        <v>7091</v>
      </c>
      <c r="F3213" s="1">
        <v>25569</v>
      </c>
      <c r="G3213" t="s">
        <v>12023</v>
      </c>
      <c r="H3213" t="s">
        <v>246</v>
      </c>
      <c r="I3213" t="s">
        <v>12024</v>
      </c>
      <c r="J3213">
        <v>759.95100000000002</v>
      </c>
      <c r="L3213" t="s">
        <v>20</v>
      </c>
      <c r="M3213" t="s">
        <v>12025</v>
      </c>
    </row>
    <row r="3214" spans="1:13" x14ac:dyDescent="0.25">
      <c r="A3214">
        <v>7007874</v>
      </c>
      <c r="B3214" t="s">
        <v>12026</v>
      </c>
      <c r="C3214" t="str">
        <f>"9780892641260"</f>
        <v>9780892641260</v>
      </c>
      <c r="D3214" t="str">
        <f>"9780472901487"</f>
        <v>9780472901487</v>
      </c>
      <c r="E3214" t="s">
        <v>7091</v>
      </c>
      <c r="F3214" s="1">
        <v>35825</v>
      </c>
      <c r="G3214" t="s">
        <v>9809</v>
      </c>
      <c r="H3214" t="s">
        <v>246</v>
      </c>
      <c r="I3214" t="s">
        <v>12027</v>
      </c>
      <c r="J3214">
        <v>759.9510904</v>
      </c>
      <c r="L3214" t="s">
        <v>20</v>
      </c>
      <c r="M3214" t="s">
        <v>12028</v>
      </c>
    </row>
    <row r="3215" spans="1:13" x14ac:dyDescent="0.25">
      <c r="A3215">
        <v>7007875</v>
      </c>
      <c r="B3215" t="s">
        <v>12029</v>
      </c>
      <c r="C3215" t="str">
        <f>"9780472119813"</f>
        <v>9780472119813</v>
      </c>
      <c r="D3215" t="str">
        <f>"9780472900602"</f>
        <v>9780472900602</v>
      </c>
      <c r="E3215" t="s">
        <v>6708</v>
      </c>
      <c r="F3215" s="1">
        <v>42399</v>
      </c>
      <c r="G3215" t="s">
        <v>12030</v>
      </c>
      <c r="H3215" t="s">
        <v>70</v>
      </c>
      <c r="I3215" t="s">
        <v>12031</v>
      </c>
      <c r="J3215" t="s">
        <v>12032</v>
      </c>
      <c r="L3215" t="s">
        <v>20</v>
      </c>
      <c r="M3215" t="s">
        <v>12033</v>
      </c>
    </row>
    <row r="3216" spans="1:13" x14ac:dyDescent="0.25">
      <c r="A3216">
        <v>7007876</v>
      </c>
      <c r="B3216" t="s">
        <v>12034</v>
      </c>
      <c r="C3216" t="str">
        <f>"9781929280605"</f>
        <v>9781929280605</v>
      </c>
      <c r="D3216" t="str">
        <f>"9780472901432"</f>
        <v>9780472901432</v>
      </c>
      <c r="E3216" t="s">
        <v>7076</v>
      </c>
      <c r="F3216" s="1">
        <v>40208</v>
      </c>
      <c r="G3216" t="s">
        <v>12035</v>
      </c>
      <c r="H3216" t="s">
        <v>70</v>
      </c>
      <c r="I3216" t="s">
        <v>8806</v>
      </c>
      <c r="J3216" t="s">
        <v>12036</v>
      </c>
      <c r="L3216" t="s">
        <v>20</v>
      </c>
      <c r="M3216" t="s">
        <v>12037</v>
      </c>
    </row>
    <row r="3217" spans="1:13" x14ac:dyDescent="0.25">
      <c r="A3217">
        <v>7007877</v>
      </c>
      <c r="B3217" t="s">
        <v>12038</v>
      </c>
      <c r="C3217" t="str">
        <f>"9780472116355"</f>
        <v>9780472116355</v>
      </c>
      <c r="D3217" t="str">
        <f>"9780472900527"</f>
        <v>9780472900527</v>
      </c>
      <c r="E3217" t="s">
        <v>6708</v>
      </c>
      <c r="F3217" s="1">
        <v>39597</v>
      </c>
      <c r="G3217" t="s">
        <v>12039</v>
      </c>
      <c r="H3217" t="s">
        <v>3948</v>
      </c>
      <c r="I3217" t="s">
        <v>7193</v>
      </c>
      <c r="J3217">
        <v>794.8</v>
      </c>
      <c r="L3217" t="s">
        <v>20</v>
      </c>
      <c r="M3217" t="s">
        <v>12040</v>
      </c>
    </row>
    <row r="3218" spans="1:13" x14ac:dyDescent="0.25">
      <c r="A3218">
        <v>7007878</v>
      </c>
      <c r="B3218" t="s">
        <v>12041</v>
      </c>
      <c r="C3218" t="str">
        <f>"9780891480099"</f>
        <v>9780891480099</v>
      </c>
      <c r="D3218" t="str">
        <f>"9780472901944"</f>
        <v>9780472901944</v>
      </c>
      <c r="E3218" t="s">
        <v>7081</v>
      </c>
      <c r="F3218" s="1">
        <v>27395</v>
      </c>
      <c r="G3218" t="s">
        <v>12042</v>
      </c>
      <c r="H3218" t="s">
        <v>239</v>
      </c>
      <c r="I3218" t="s">
        <v>12043</v>
      </c>
      <c r="L3218" t="s">
        <v>20</v>
      </c>
      <c r="M3218" t="s">
        <v>12044</v>
      </c>
    </row>
    <row r="3219" spans="1:13" x14ac:dyDescent="0.25">
      <c r="A3219">
        <v>7007879</v>
      </c>
      <c r="B3219" t="s">
        <v>12045</v>
      </c>
      <c r="C3219" t="str">
        <f>"9780472118502"</f>
        <v>9780472118502</v>
      </c>
      <c r="D3219" t="str">
        <f>"9780472901050"</f>
        <v>9780472901050</v>
      </c>
      <c r="E3219" t="s">
        <v>6708</v>
      </c>
      <c r="F3219" s="1">
        <v>41333</v>
      </c>
      <c r="G3219" t="s">
        <v>12046</v>
      </c>
      <c r="H3219" t="s">
        <v>70</v>
      </c>
      <c r="I3219" t="s">
        <v>12047</v>
      </c>
      <c r="J3219">
        <v>873.01</v>
      </c>
      <c r="L3219" t="s">
        <v>20</v>
      </c>
      <c r="M3219" t="s">
        <v>12048</v>
      </c>
    </row>
    <row r="3220" spans="1:13" x14ac:dyDescent="0.25">
      <c r="A3220">
        <v>7007880</v>
      </c>
      <c r="B3220" t="s">
        <v>12049</v>
      </c>
      <c r="C3220" t="str">
        <f>"9780472099825"</f>
        <v>9780472099825</v>
      </c>
      <c r="D3220" t="str">
        <f>"9780472901135"</f>
        <v>9780472901135</v>
      </c>
      <c r="E3220" t="s">
        <v>6708</v>
      </c>
      <c r="F3220" s="1">
        <v>39293</v>
      </c>
      <c r="G3220" t="s">
        <v>12050</v>
      </c>
      <c r="H3220" t="s">
        <v>64</v>
      </c>
      <c r="I3220" t="s">
        <v>12051</v>
      </c>
      <c r="J3220">
        <v>364.601</v>
      </c>
      <c r="L3220" t="s">
        <v>20</v>
      </c>
      <c r="M3220" t="s">
        <v>12052</v>
      </c>
    </row>
    <row r="3221" spans="1:13" x14ac:dyDescent="0.25">
      <c r="A3221">
        <v>7007881</v>
      </c>
      <c r="B3221" t="s">
        <v>12053</v>
      </c>
      <c r="C3221" t="str">
        <f>"9780472099917"</f>
        <v>9780472099917</v>
      </c>
      <c r="D3221" t="str">
        <f>"9780472900978"</f>
        <v>9780472900978</v>
      </c>
      <c r="E3221" t="s">
        <v>6708</v>
      </c>
      <c r="F3221" s="1">
        <v>39276</v>
      </c>
      <c r="G3221" t="s">
        <v>12054</v>
      </c>
      <c r="H3221" t="s">
        <v>70</v>
      </c>
      <c r="I3221" t="s">
        <v>12055</v>
      </c>
      <c r="J3221" t="s">
        <v>12056</v>
      </c>
      <c r="L3221" t="s">
        <v>20</v>
      </c>
      <c r="M3221" t="s">
        <v>12057</v>
      </c>
    </row>
    <row r="3222" spans="1:13" x14ac:dyDescent="0.25">
      <c r="A3222">
        <v>7007882</v>
      </c>
      <c r="B3222" t="s">
        <v>12058</v>
      </c>
      <c r="C3222" t="str">
        <f>"9780891480433"</f>
        <v>9780891480433</v>
      </c>
      <c r="D3222" t="str">
        <f>"9780472902309"</f>
        <v>9780472902309</v>
      </c>
      <c r="E3222" t="s">
        <v>7081</v>
      </c>
      <c r="F3222" s="1">
        <v>32172</v>
      </c>
      <c r="G3222" t="s">
        <v>12059</v>
      </c>
      <c r="H3222" t="s">
        <v>139</v>
      </c>
      <c r="I3222" t="s">
        <v>12060</v>
      </c>
      <c r="L3222" t="s">
        <v>20</v>
      </c>
      <c r="M3222" t="s">
        <v>12061</v>
      </c>
    </row>
    <row r="3223" spans="1:13" x14ac:dyDescent="0.25">
      <c r="A3223">
        <v>7007883</v>
      </c>
      <c r="B3223" t="s">
        <v>12062</v>
      </c>
      <c r="C3223" t="str">
        <f>"9780892640171"</f>
        <v>9780892640171</v>
      </c>
      <c r="D3223" t="str">
        <f>"9780472902224"</f>
        <v>9780472902224</v>
      </c>
      <c r="E3223" t="s">
        <v>7091</v>
      </c>
      <c r="F3223" s="1">
        <v>27030</v>
      </c>
      <c r="G3223" t="s">
        <v>7267</v>
      </c>
      <c r="H3223" t="s">
        <v>1753</v>
      </c>
      <c r="I3223" t="s">
        <v>1447</v>
      </c>
      <c r="L3223" t="s">
        <v>20</v>
      </c>
      <c r="M3223" t="s">
        <v>12063</v>
      </c>
    </row>
    <row r="3224" spans="1:13" x14ac:dyDescent="0.25">
      <c r="A3224">
        <v>7007884</v>
      </c>
      <c r="B3224" t="s">
        <v>12064</v>
      </c>
      <c r="C3224" t="str">
        <f>"9780892641109"</f>
        <v>9780892641109</v>
      </c>
      <c r="D3224" t="str">
        <f>"9780472901357"</f>
        <v>9780472901357</v>
      </c>
      <c r="E3224" t="s">
        <v>7091</v>
      </c>
      <c r="F3224" s="1">
        <v>34730</v>
      </c>
      <c r="G3224" t="s">
        <v>12065</v>
      </c>
      <c r="H3224" t="s">
        <v>70</v>
      </c>
      <c r="I3224" t="s">
        <v>8766</v>
      </c>
      <c r="J3224">
        <v>895.11009000000001</v>
      </c>
      <c r="L3224" t="s">
        <v>20</v>
      </c>
      <c r="M3224" t="s">
        <v>12066</v>
      </c>
    </row>
    <row r="3225" spans="1:13" x14ac:dyDescent="0.25">
      <c r="A3225">
        <v>7007885</v>
      </c>
      <c r="B3225" t="s">
        <v>12067</v>
      </c>
      <c r="C3225" t="str">
        <f>"9780472071999"</f>
        <v>9780472071999</v>
      </c>
      <c r="D3225" t="str">
        <f>"9780472901104"</f>
        <v>9780472901104</v>
      </c>
      <c r="E3225" t="s">
        <v>6708</v>
      </c>
      <c r="F3225" s="1">
        <v>41661</v>
      </c>
      <c r="G3225" t="s">
        <v>12068</v>
      </c>
      <c r="H3225" t="s">
        <v>1562</v>
      </c>
      <c r="I3225" t="s">
        <v>12069</v>
      </c>
      <c r="J3225" t="s">
        <v>12070</v>
      </c>
      <c r="L3225" t="s">
        <v>20</v>
      </c>
      <c r="M3225" t="s">
        <v>12071</v>
      </c>
    </row>
    <row r="3226" spans="1:13" x14ac:dyDescent="0.25">
      <c r="A3226">
        <v>7007886</v>
      </c>
      <c r="B3226" t="s">
        <v>12072</v>
      </c>
      <c r="C3226" t="str">
        <f>"9780939512485"</f>
        <v>9780939512485</v>
      </c>
      <c r="D3226" t="str">
        <f>"9780472901593"</f>
        <v>9780472901593</v>
      </c>
      <c r="E3226" t="s">
        <v>7076</v>
      </c>
      <c r="F3226" s="1">
        <v>33662</v>
      </c>
      <c r="G3226" t="s">
        <v>12073</v>
      </c>
      <c r="H3226" t="s">
        <v>70</v>
      </c>
      <c r="I3226" t="s">
        <v>12074</v>
      </c>
      <c r="J3226">
        <v>895.63220000000001</v>
      </c>
      <c r="L3226" t="s">
        <v>20</v>
      </c>
      <c r="M3226" t="s">
        <v>12075</v>
      </c>
    </row>
    <row r="3227" spans="1:13" x14ac:dyDescent="0.25">
      <c r="A3227">
        <v>7007887</v>
      </c>
      <c r="B3227" t="s">
        <v>12076</v>
      </c>
      <c r="C3227" t="str">
        <f>"9780892640263"</f>
        <v>9780892640263</v>
      </c>
      <c r="D3227" t="str">
        <f>"9780472902149"</f>
        <v>9780472902149</v>
      </c>
      <c r="E3227" t="s">
        <v>7091</v>
      </c>
      <c r="F3227" s="1">
        <v>27760</v>
      </c>
      <c r="G3227" t="s">
        <v>12077</v>
      </c>
      <c r="H3227" t="s">
        <v>139</v>
      </c>
      <c r="I3227" t="s">
        <v>8791</v>
      </c>
      <c r="L3227" t="s">
        <v>20</v>
      </c>
      <c r="M3227" t="s">
        <v>12078</v>
      </c>
    </row>
    <row r="3228" spans="1:13" x14ac:dyDescent="0.25">
      <c r="A3228">
        <v>7007888</v>
      </c>
      <c r="B3228" t="s">
        <v>12079</v>
      </c>
      <c r="C3228" t="str">
        <f>"9780891480624"</f>
        <v>9780891480624</v>
      </c>
      <c r="D3228" t="str">
        <f>"9780472901715"</f>
        <v>9780472901715</v>
      </c>
      <c r="E3228" t="s">
        <v>7081</v>
      </c>
      <c r="F3228" s="1">
        <v>33239</v>
      </c>
      <c r="G3228" t="s">
        <v>12080</v>
      </c>
      <c r="H3228" t="s">
        <v>246</v>
      </c>
      <c r="I3228" t="s">
        <v>12081</v>
      </c>
      <c r="J3228" t="s">
        <v>12082</v>
      </c>
      <c r="L3228" t="s">
        <v>20</v>
      </c>
      <c r="M3228" t="s">
        <v>12083</v>
      </c>
    </row>
    <row r="3229" spans="1:13" x14ac:dyDescent="0.25">
      <c r="A3229">
        <v>7007889</v>
      </c>
      <c r="B3229" t="s">
        <v>12084</v>
      </c>
      <c r="C3229" t="str">
        <f>"9780472119011"</f>
        <v>9780472119011</v>
      </c>
      <c r="D3229" t="str">
        <f>"9780472900015"</f>
        <v>9780472900015</v>
      </c>
      <c r="E3229" t="s">
        <v>6708</v>
      </c>
      <c r="F3229" s="1">
        <v>41547</v>
      </c>
      <c r="G3229" t="s">
        <v>12085</v>
      </c>
      <c r="H3229" t="s">
        <v>30</v>
      </c>
      <c r="I3229" t="s">
        <v>12086</v>
      </c>
      <c r="J3229">
        <v>328.73073455000002</v>
      </c>
      <c r="L3229" t="s">
        <v>20</v>
      </c>
      <c r="M3229" t="s">
        <v>12087</v>
      </c>
    </row>
    <row r="3230" spans="1:13" x14ac:dyDescent="0.25">
      <c r="A3230">
        <v>7007891</v>
      </c>
      <c r="B3230" t="s">
        <v>12088</v>
      </c>
      <c r="C3230" t="str">
        <f>"9780939512089"</f>
        <v>9780939512089</v>
      </c>
      <c r="D3230" t="str">
        <f>"9780472902033"</f>
        <v>9780472902033</v>
      </c>
      <c r="E3230" t="s">
        <v>7076</v>
      </c>
      <c r="F3230" s="1">
        <v>29587</v>
      </c>
      <c r="G3230" t="s">
        <v>7273</v>
      </c>
      <c r="H3230" t="s">
        <v>1753</v>
      </c>
      <c r="I3230" t="s">
        <v>7274</v>
      </c>
      <c r="L3230" t="s">
        <v>20</v>
      </c>
      <c r="M3230" t="s">
        <v>12089</v>
      </c>
    </row>
    <row r="3231" spans="1:13" x14ac:dyDescent="0.25">
      <c r="A3231">
        <v>7007892</v>
      </c>
      <c r="B3231" t="s">
        <v>12090</v>
      </c>
      <c r="C3231" t="str">
        <f>"9780472118632"</f>
        <v>9780472118632</v>
      </c>
      <c r="D3231" t="str">
        <f>"9780472900992"</f>
        <v>9780472900992</v>
      </c>
      <c r="E3231" t="s">
        <v>6708</v>
      </c>
      <c r="F3231" s="1">
        <v>41313</v>
      </c>
      <c r="G3231" t="s">
        <v>12091</v>
      </c>
      <c r="H3231" t="s">
        <v>70</v>
      </c>
      <c r="I3231" t="s">
        <v>9713</v>
      </c>
      <c r="J3231">
        <v>810.98960729999999</v>
      </c>
      <c r="L3231" t="s">
        <v>20</v>
      </c>
      <c r="M3231" t="s">
        <v>12092</v>
      </c>
    </row>
    <row r="3232" spans="1:13" x14ac:dyDescent="0.25">
      <c r="A3232">
        <v>7007893</v>
      </c>
      <c r="B3232" t="s">
        <v>12093</v>
      </c>
      <c r="C3232" t="str">
        <f>"9780472119172"</f>
        <v>9780472119172</v>
      </c>
      <c r="D3232" t="str">
        <f>"9780472900961"</f>
        <v>9780472900961</v>
      </c>
      <c r="E3232" t="s">
        <v>6708</v>
      </c>
      <c r="F3232" s="1">
        <v>41806</v>
      </c>
      <c r="G3232" t="s">
        <v>12094</v>
      </c>
      <c r="H3232" t="s">
        <v>246</v>
      </c>
      <c r="I3232" t="s">
        <v>12095</v>
      </c>
      <c r="J3232" t="s">
        <v>12096</v>
      </c>
      <c r="L3232" t="s">
        <v>20</v>
      </c>
      <c r="M3232" t="s">
        <v>12097</v>
      </c>
    </row>
    <row r="3233" spans="1:13" x14ac:dyDescent="0.25">
      <c r="A3233">
        <v>7007894</v>
      </c>
      <c r="B3233" t="s">
        <v>12098</v>
      </c>
      <c r="C3233" t="str">
        <f>"9780939512126"</f>
        <v>9780939512126</v>
      </c>
      <c r="D3233" t="str">
        <f>"9780472902040"</f>
        <v>9780472902040</v>
      </c>
      <c r="E3233" t="s">
        <v>7076</v>
      </c>
      <c r="F3233" s="1">
        <v>29952</v>
      </c>
      <c r="G3233" t="s">
        <v>7273</v>
      </c>
      <c r="H3233" t="s">
        <v>169</v>
      </c>
      <c r="I3233" t="s">
        <v>7274</v>
      </c>
      <c r="J3233" t="s">
        <v>8849</v>
      </c>
      <c r="L3233" t="s">
        <v>20</v>
      </c>
      <c r="M3233" t="s">
        <v>12099</v>
      </c>
    </row>
    <row r="3234" spans="1:13" x14ac:dyDescent="0.25">
      <c r="A3234">
        <v>7007895</v>
      </c>
      <c r="B3234" t="s">
        <v>12100</v>
      </c>
      <c r="C3234" t="str">
        <f>"9780472119417"</f>
        <v>9780472119417</v>
      </c>
      <c r="D3234" t="str">
        <f>"9780472900947"</f>
        <v>9780472900947</v>
      </c>
      <c r="E3234" t="s">
        <v>6708</v>
      </c>
      <c r="F3234" s="1">
        <v>41925</v>
      </c>
      <c r="G3234" t="s">
        <v>12101</v>
      </c>
      <c r="H3234" t="s">
        <v>64</v>
      </c>
      <c r="I3234" t="s">
        <v>12102</v>
      </c>
      <c r="J3234">
        <v>303.60942999999997</v>
      </c>
      <c r="L3234" t="s">
        <v>20</v>
      </c>
      <c r="M3234" t="s">
        <v>12103</v>
      </c>
    </row>
    <row r="3235" spans="1:13" x14ac:dyDescent="0.25">
      <c r="A3235">
        <v>7007896</v>
      </c>
      <c r="B3235" t="s">
        <v>12104</v>
      </c>
      <c r="C3235" t="str">
        <f>"9780891480112"</f>
        <v>9780891480112</v>
      </c>
      <c r="D3235" t="str">
        <f>"9780472901951"</f>
        <v>9780472901951</v>
      </c>
      <c r="E3235" t="s">
        <v>7081</v>
      </c>
      <c r="F3235" s="1">
        <v>27760</v>
      </c>
      <c r="G3235" t="s">
        <v>12105</v>
      </c>
      <c r="H3235" t="s">
        <v>30</v>
      </c>
      <c r="I3235" t="s">
        <v>12106</v>
      </c>
      <c r="L3235" t="s">
        <v>20</v>
      </c>
      <c r="M3235" t="s">
        <v>12107</v>
      </c>
    </row>
    <row r="3236" spans="1:13" x14ac:dyDescent="0.25">
      <c r="A3236">
        <v>7007897</v>
      </c>
      <c r="B3236" t="s">
        <v>12108</v>
      </c>
      <c r="C3236" t="str">
        <f>"9780892640515"</f>
        <v>9780892640515</v>
      </c>
      <c r="D3236" t="str">
        <f>"9780472902231"</f>
        <v>9780472902231</v>
      </c>
      <c r="E3236" t="s">
        <v>7091</v>
      </c>
      <c r="F3236" s="1">
        <v>30711</v>
      </c>
      <c r="G3236" t="s">
        <v>12109</v>
      </c>
      <c r="H3236" t="s">
        <v>64</v>
      </c>
      <c r="I3236" t="s">
        <v>12110</v>
      </c>
      <c r="L3236" t="s">
        <v>20</v>
      </c>
      <c r="M3236" t="s">
        <v>12111</v>
      </c>
    </row>
    <row r="3237" spans="1:13" x14ac:dyDescent="0.25">
      <c r="A3237">
        <v>7007898</v>
      </c>
      <c r="B3237" t="s">
        <v>12112</v>
      </c>
      <c r="C3237" t="str">
        <f>"9780939512959"</f>
        <v>9780939512959</v>
      </c>
      <c r="D3237" t="str">
        <f>"9780472901920"</f>
        <v>9780472901920</v>
      </c>
      <c r="E3237" t="s">
        <v>7076</v>
      </c>
      <c r="F3237" s="1">
        <v>36980</v>
      </c>
      <c r="G3237" t="s">
        <v>12113</v>
      </c>
      <c r="H3237" t="s">
        <v>139</v>
      </c>
      <c r="I3237" t="s">
        <v>12114</v>
      </c>
      <c r="L3237" t="s">
        <v>20</v>
      </c>
      <c r="M3237" t="s">
        <v>12115</v>
      </c>
    </row>
    <row r="3238" spans="1:13" x14ac:dyDescent="0.25">
      <c r="A3238">
        <v>7007899</v>
      </c>
      <c r="B3238" t="s">
        <v>12116</v>
      </c>
      <c r="C3238" t="str">
        <f>"9780472072781"</f>
        <v>9780472072781</v>
      </c>
      <c r="D3238" t="str">
        <f>"9780472900688"</f>
        <v>9780472900688</v>
      </c>
      <c r="E3238" t="s">
        <v>6708</v>
      </c>
      <c r="F3238" s="1">
        <v>42338</v>
      </c>
      <c r="G3238" t="s">
        <v>12117</v>
      </c>
      <c r="H3238" t="s">
        <v>70</v>
      </c>
      <c r="I3238" t="s">
        <v>12118</v>
      </c>
      <c r="J3238">
        <v>802.85</v>
      </c>
      <c r="L3238" t="s">
        <v>20</v>
      </c>
      <c r="M3238" t="s">
        <v>12119</v>
      </c>
    </row>
    <row r="3239" spans="1:13" x14ac:dyDescent="0.25">
      <c r="A3239">
        <v>7007900</v>
      </c>
      <c r="B3239" t="s">
        <v>12120</v>
      </c>
      <c r="C3239" t="str">
        <f>"9780472117680"</f>
        <v>9780472117680</v>
      </c>
      <c r="D3239" t="str">
        <f>"9780472901197"</f>
        <v>9780472901197</v>
      </c>
      <c r="E3239" t="s">
        <v>6708</v>
      </c>
      <c r="F3239" s="1">
        <v>40765</v>
      </c>
      <c r="G3239" t="s">
        <v>12121</v>
      </c>
      <c r="H3239" t="s">
        <v>5522</v>
      </c>
      <c r="I3239" t="s">
        <v>12122</v>
      </c>
      <c r="J3239">
        <v>333.72095100000001</v>
      </c>
      <c r="L3239" t="s">
        <v>20</v>
      </c>
      <c r="M3239" t="s">
        <v>12123</v>
      </c>
    </row>
    <row r="3240" spans="1:13" x14ac:dyDescent="0.25">
      <c r="A3240">
        <v>7007901</v>
      </c>
      <c r="B3240" t="s">
        <v>12124</v>
      </c>
      <c r="C3240" t="str">
        <f>"9780891480457"</f>
        <v>9780891480457</v>
      </c>
      <c r="D3240" t="str">
        <f>"9780472901685"</f>
        <v>9780472901685</v>
      </c>
      <c r="E3240" t="s">
        <v>7081</v>
      </c>
      <c r="F3240" s="1">
        <v>28856</v>
      </c>
      <c r="G3240" t="s">
        <v>12125</v>
      </c>
      <c r="H3240" t="s">
        <v>139</v>
      </c>
      <c r="I3240" t="s">
        <v>12126</v>
      </c>
      <c r="L3240" t="s">
        <v>20</v>
      </c>
      <c r="M3240" t="s">
        <v>12127</v>
      </c>
    </row>
    <row r="3241" spans="1:13" x14ac:dyDescent="0.25">
      <c r="A3241">
        <v>7007902</v>
      </c>
      <c r="B3241" t="s">
        <v>12128</v>
      </c>
      <c r="C3241" t="str">
        <f>"9780472036158"</f>
        <v>9780472036158</v>
      </c>
      <c r="D3241" t="str">
        <f>"9780472900190"</f>
        <v>9780472900190</v>
      </c>
      <c r="E3241" t="s">
        <v>6708</v>
      </c>
      <c r="F3241" s="1">
        <v>41981</v>
      </c>
      <c r="G3241" t="s">
        <v>12129</v>
      </c>
      <c r="H3241" t="s">
        <v>70</v>
      </c>
      <c r="I3241" t="s">
        <v>12130</v>
      </c>
      <c r="J3241" t="s">
        <v>11999</v>
      </c>
      <c r="L3241" t="s">
        <v>20</v>
      </c>
      <c r="M3241" t="s">
        <v>12131</v>
      </c>
    </row>
    <row r="3242" spans="1:13" x14ac:dyDescent="0.25">
      <c r="A3242">
        <v>7007903</v>
      </c>
      <c r="B3242" t="s">
        <v>12132</v>
      </c>
      <c r="C3242" t="str">
        <f>"9780939512805"</f>
        <v>9780939512805</v>
      </c>
      <c r="D3242" t="str">
        <f>"9780472901401"</f>
        <v>9780472901401</v>
      </c>
      <c r="E3242" t="s">
        <v>7076</v>
      </c>
      <c r="F3242" s="1">
        <v>35672</v>
      </c>
      <c r="G3242" t="s">
        <v>12133</v>
      </c>
      <c r="H3242" t="s">
        <v>70</v>
      </c>
      <c r="I3242" t="s">
        <v>9637</v>
      </c>
      <c r="J3242" t="s">
        <v>12134</v>
      </c>
      <c r="L3242" t="s">
        <v>20</v>
      </c>
      <c r="M3242" t="s">
        <v>12135</v>
      </c>
    </row>
    <row r="3243" spans="1:13" x14ac:dyDescent="0.25">
      <c r="A3243">
        <v>7007904</v>
      </c>
      <c r="B3243" t="s">
        <v>12136</v>
      </c>
      <c r="C3243" t="str">
        <f>"9780472072828"</f>
        <v>9780472072828</v>
      </c>
      <c r="D3243" t="str">
        <f>"9780472900121"</f>
        <v>9780472900121</v>
      </c>
      <c r="E3243" t="s">
        <v>6708</v>
      </c>
      <c r="F3243" s="1">
        <v>42115</v>
      </c>
      <c r="G3243" t="s">
        <v>12137</v>
      </c>
      <c r="H3243" t="s">
        <v>70</v>
      </c>
      <c r="I3243" t="s">
        <v>12138</v>
      </c>
      <c r="L3243" t="s">
        <v>20</v>
      </c>
      <c r="M3243" t="s">
        <v>12139</v>
      </c>
    </row>
    <row r="3244" spans="1:13" x14ac:dyDescent="0.25">
      <c r="A3244">
        <v>7007905</v>
      </c>
      <c r="B3244" t="s">
        <v>12140</v>
      </c>
      <c r="C3244" t="str">
        <f>"9780472117932"</f>
        <v>9780472117932</v>
      </c>
      <c r="D3244" t="str">
        <f>"9780472900794"</f>
        <v>9780472900794</v>
      </c>
      <c r="E3244" t="s">
        <v>6708</v>
      </c>
      <c r="F3244" s="1">
        <v>40816</v>
      </c>
      <c r="G3244" t="s">
        <v>12141</v>
      </c>
      <c r="H3244" t="s">
        <v>239</v>
      </c>
      <c r="I3244" t="s">
        <v>12142</v>
      </c>
      <c r="J3244">
        <v>341.24220000000003</v>
      </c>
      <c r="L3244" t="s">
        <v>20</v>
      </c>
      <c r="M3244" t="s">
        <v>12143</v>
      </c>
    </row>
    <row r="3245" spans="1:13" x14ac:dyDescent="0.25">
      <c r="A3245">
        <v>7007906</v>
      </c>
      <c r="B3245" t="s">
        <v>12144</v>
      </c>
      <c r="C3245" t="str">
        <f>"9781929280551"</f>
        <v>9781929280551</v>
      </c>
      <c r="D3245" t="str">
        <f>"9780472901616"</f>
        <v>9780472901616</v>
      </c>
      <c r="E3245" t="s">
        <v>7076</v>
      </c>
      <c r="F3245" s="1">
        <v>39843</v>
      </c>
      <c r="G3245" t="s">
        <v>12145</v>
      </c>
      <c r="H3245" t="s">
        <v>70</v>
      </c>
      <c r="I3245" t="s">
        <v>11990</v>
      </c>
      <c r="J3245" t="s">
        <v>12146</v>
      </c>
      <c r="L3245" t="s">
        <v>20</v>
      </c>
      <c r="M3245" t="s">
        <v>12147</v>
      </c>
    </row>
    <row r="3246" spans="1:13" x14ac:dyDescent="0.25">
      <c r="A3246">
        <v>7007908</v>
      </c>
      <c r="B3246" t="s">
        <v>12148</v>
      </c>
      <c r="C3246" t="str">
        <f>"9780892641635"</f>
        <v>9780892641635</v>
      </c>
      <c r="D3246" t="str">
        <f>"9780472901456"</f>
        <v>9780472901456</v>
      </c>
      <c r="E3246" t="s">
        <v>7091</v>
      </c>
      <c r="F3246" s="1">
        <v>38168</v>
      </c>
      <c r="G3246" t="s">
        <v>12149</v>
      </c>
      <c r="H3246" t="s">
        <v>41</v>
      </c>
      <c r="I3246" t="s">
        <v>12150</v>
      </c>
      <c r="J3246">
        <v>338.47664409510901</v>
      </c>
      <c r="L3246" t="s">
        <v>20</v>
      </c>
      <c r="M3246" t="s">
        <v>12151</v>
      </c>
    </row>
    <row r="3247" spans="1:13" x14ac:dyDescent="0.25">
      <c r="A3247">
        <v>7007910</v>
      </c>
      <c r="B3247" t="s">
        <v>12152</v>
      </c>
      <c r="C3247" t="str">
        <f>"9780472131013"</f>
        <v>9780472131013</v>
      </c>
      <c r="D3247" t="str">
        <f>"9780472901173"</f>
        <v>9780472901173</v>
      </c>
      <c r="E3247" t="s">
        <v>6708</v>
      </c>
      <c r="F3247" s="1">
        <v>43403</v>
      </c>
      <c r="G3247" t="s">
        <v>12153</v>
      </c>
      <c r="H3247" t="s">
        <v>221</v>
      </c>
      <c r="I3247" t="s">
        <v>12154</v>
      </c>
      <c r="L3247" t="s">
        <v>20</v>
      </c>
      <c r="M3247" t="s">
        <v>12155</v>
      </c>
    </row>
    <row r="3248" spans="1:13" x14ac:dyDescent="0.25">
      <c r="A3248">
        <v>7007911</v>
      </c>
      <c r="B3248" t="s">
        <v>12156</v>
      </c>
      <c r="C3248" t="str">
        <f>"9780472118823"</f>
        <v>9780472118823</v>
      </c>
      <c r="D3248" t="str">
        <f>"9780472900985"</f>
        <v>9780472900985</v>
      </c>
      <c r="E3248" t="s">
        <v>6708</v>
      </c>
      <c r="F3248" s="1">
        <v>41435</v>
      </c>
      <c r="G3248" t="s">
        <v>12157</v>
      </c>
      <c r="H3248" t="s">
        <v>266</v>
      </c>
      <c r="I3248" t="s">
        <v>12158</v>
      </c>
      <c r="J3248">
        <v>616.99449000000004</v>
      </c>
      <c r="L3248" t="s">
        <v>20</v>
      </c>
      <c r="M3248" t="s">
        <v>12159</v>
      </c>
    </row>
    <row r="3249" spans="1:13" x14ac:dyDescent="0.25">
      <c r="A3249">
        <v>7007912</v>
      </c>
      <c r="B3249" t="s">
        <v>12160</v>
      </c>
      <c r="C3249" t="str">
        <f>"9780939512119"</f>
        <v>9780939512119</v>
      </c>
      <c r="D3249" t="str">
        <f>"9780472901906"</f>
        <v>9780472901906</v>
      </c>
      <c r="E3249" t="s">
        <v>7076</v>
      </c>
      <c r="F3249" s="1">
        <v>29952</v>
      </c>
      <c r="G3249" t="s">
        <v>12161</v>
      </c>
      <c r="H3249" t="s">
        <v>246</v>
      </c>
      <c r="I3249" t="s">
        <v>12162</v>
      </c>
      <c r="L3249" t="s">
        <v>20</v>
      </c>
      <c r="M3249" t="s">
        <v>12163</v>
      </c>
    </row>
    <row r="3250" spans="1:13" x14ac:dyDescent="0.25">
      <c r="A3250">
        <v>7007913</v>
      </c>
      <c r="B3250" t="s">
        <v>12164</v>
      </c>
      <c r="C3250" t="str">
        <f>"9780891480532"</f>
        <v>9780891480532</v>
      </c>
      <c r="D3250" t="str">
        <f>"9780472902187"</f>
        <v>9780472902187</v>
      </c>
      <c r="E3250" t="s">
        <v>7081</v>
      </c>
      <c r="F3250" s="1">
        <v>27760</v>
      </c>
      <c r="G3250" t="s">
        <v>12165</v>
      </c>
      <c r="H3250" t="s">
        <v>851</v>
      </c>
      <c r="I3250" t="s">
        <v>12166</v>
      </c>
      <c r="L3250" t="s">
        <v>20</v>
      </c>
      <c r="M3250" t="s">
        <v>12167</v>
      </c>
    </row>
    <row r="3251" spans="1:13" x14ac:dyDescent="0.25">
      <c r="A3251">
        <v>7007914</v>
      </c>
      <c r="B3251" t="s">
        <v>12168</v>
      </c>
      <c r="C3251" t="str">
        <f>"9780892640447"</f>
        <v>9780892640447</v>
      </c>
      <c r="D3251" t="str">
        <f>"9780472901777"</f>
        <v>9780472901777</v>
      </c>
      <c r="E3251" t="s">
        <v>7091</v>
      </c>
      <c r="F3251" s="1">
        <v>29982</v>
      </c>
      <c r="G3251" t="s">
        <v>12169</v>
      </c>
      <c r="H3251" t="s">
        <v>2293</v>
      </c>
      <c r="I3251" t="s">
        <v>7099</v>
      </c>
      <c r="L3251" t="s">
        <v>20</v>
      </c>
      <c r="M3251" t="s">
        <v>12170</v>
      </c>
    </row>
    <row r="3252" spans="1:13" x14ac:dyDescent="0.25">
      <c r="A3252">
        <v>7008482</v>
      </c>
      <c r="B3252" t="s">
        <v>12171</v>
      </c>
      <c r="C3252" t="str">
        <f>"9783030980719"</f>
        <v>9783030980719</v>
      </c>
      <c r="D3252" t="str">
        <f>"9783030980726"</f>
        <v>9783030980726</v>
      </c>
      <c r="E3252" t="s">
        <v>2905</v>
      </c>
      <c r="F3252" s="1">
        <v>44715</v>
      </c>
      <c r="G3252" t="s">
        <v>12172</v>
      </c>
      <c r="H3252" t="s">
        <v>999</v>
      </c>
      <c r="I3252" t="s">
        <v>5305</v>
      </c>
      <c r="J3252">
        <v>342.08780000000002</v>
      </c>
      <c r="L3252" t="s">
        <v>20</v>
      </c>
      <c r="M3252" t="s">
        <v>12173</v>
      </c>
    </row>
    <row r="3253" spans="1:13" x14ac:dyDescent="0.25">
      <c r="A3253">
        <v>7009591</v>
      </c>
      <c r="B3253" t="s">
        <v>12174</v>
      </c>
      <c r="C3253" t="str">
        <f>"9780975747520"</f>
        <v>9780975747520</v>
      </c>
      <c r="D3253" t="str">
        <f>"9780975747537"</f>
        <v>9780975747537</v>
      </c>
      <c r="E3253" t="s">
        <v>11522</v>
      </c>
      <c r="F3253" s="1">
        <v>38596</v>
      </c>
      <c r="G3253" t="s">
        <v>12175</v>
      </c>
      <c r="H3253" t="s">
        <v>64</v>
      </c>
      <c r="I3253" t="s">
        <v>12176</v>
      </c>
      <c r="J3253" t="s">
        <v>12177</v>
      </c>
      <c r="L3253" t="s">
        <v>20</v>
      </c>
      <c r="M3253" t="s">
        <v>12178</v>
      </c>
    </row>
    <row r="3254" spans="1:13" x14ac:dyDescent="0.25">
      <c r="A3254">
        <v>7009592</v>
      </c>
      <c r="B3254" t="s">
        <v>12179</v>
      </c>
      <c r="C3254" t="str">
        <f>"9780980361605"</f>
        <v>9780980361605</v>
      </c>
      <c r="D3254" t="str">
        <f>"9780980361612"</f>
        <v>9780980361612</v>
      </c>
      <c r="E3254" t="s">
        <v>11522</v>
      </c>
      <c r="F3254" s="1">
        <v>39326</v>
      </c>
      <c r="G3254" t="s">
        <v>12180</v>
      </c>
      <c r="H3254" t="s">
        <v>246</v>
      </c>
      <c r="I3254" t="s">
        <v>12181</v>
      </c>
      <c r="J3254">
        <v>701</v>
      </c>
      <c r="L3254" t="s">
        <v>20</v>
      </c>
      <c r="M3254" t="s">
        <v>12182</v>
      </c>
    </row>
    <row r="3255" spans="1:13" x14ac:dyDescent="0.25">
      <c r="A3255">
        <v>7013142</v>
      </c>
      <c r="B3255" t="s">
        <v>12183</v>
      </c>
      <c r="C3255" t="str">
        <f>"9783658376802"</f>
        <v>9783658376802</v>
      </c>
      <c r="D3255" t="str">
        <f>"9783658376819"</f>
        <v>9783658376819</v>
      </c>
      <c r="E3255" t="s">
        <v>4472</v>
      </c>
      <c r="F3255" s="1">
        <v>44758</v>
      </c>
      <c r="G3255" t="s">
        <v>12184</v>
      </c>
      <c r="H3255" t="s">
        <v>64</v>
      </c>
      <c r="I3255" t="s">
        <v>4102</v>
      </c>
      <c r="L3255" t="s">
        <v>20</v>
      </c>
      <c r="M3255" t="s">
        <v>12185</v>
      </c>
    </row>
    <row r="3256" spans="1:13" x14ac:dyDescent="0.25">
      <c r="A3256">
        <v>7013146</v>
      </c>
      <c r="B3256" t="s">
        <v>12186</v>
      </c>
      <c r="C3256" t="str">
        <f>"9783031009273"</f>
        <v>9783031009273</v>
      </c>
      <c r="D3256" t="str">
        <f>"9783031009280"</f>
        <v>9783031009280</v>
      </c>
      <c r="E3256" t="s">
        <v>2905</v>
      </c>
      <c r="F3256" s="1">
        <v>44751</v>
      </c>
      <c r="G3256" t="s">
        <v>12187</v>
      </c>
      <c r="H3256" t="s">
        <v>1178</v>
      </c>
      <c r="I3256" t="s">
        <v>5490</v>
      </c>
      <c r="L3256" t="s">
        <v>20</v>
      </c>
      <c r="M3256" t="s">
        <v>12188</v>
      </c>
    </row>
    <row r="3257" spans="1:13" x14ac:dyDescent="0.25">
      <c r="A3257">
        <v>7013184</v>
      </c>
      <c r="B3257" t="s">
        <v>12189</v>
      </c>
      <c r="C3257" t="str">
        <f>"9783030990060"</f>
        <v>9783030990060</v>
      </c>
      <c r="D3257" t="str">
        <f>"9783030990077"</f>
        <v>9783030990077</v>
      </c>
      <c r="E3257" t="s">
        <v>2905</v>
      </c>
      <c r="F3257" s="1">
        <v>44721</v>
      </c>
      <c r="G3257" t="s">
        <v>12190</v>
      </c>
      <c r="H3257" t="s">
        <v>120</v>
      </c>
      <c r="I3257" t="s">
        <v>7309</v>
      </c>
      <c r="J3257">
        <v>320.94380000000001</v>
      </c>
      <c r="L3257" t="s">
        <v>20</v>
      </c>
      <c r="M3257" t="s">
        <v>12191</v>
      </c>
    </row>
    <row r="3258" spans="1:13" x14ac:dyDescent="0.25">
      <c r="A3258">
        <v>7013930</v>
      </c>
      <c r="B3258" t="s">
        <v>12192</v>
      </c>
      <c r="C3258" t="str">
        <f>"9789811915512"</f>
        <v>9789811915512</v>
      </c>
      <c r="D3258" t="str">
        <f>"9789811915529"</f>
        <v>9789811915529</v>
      </c>
      <c r="E3258" t="s">
        <v>2906</v>
      </c>
      <c r="F3258" s="1">
        <v>44706</v>
      </c>
      <c r="G3258" t="s">
        <v>12193</v>
      </c>
      <c r="H3258" t="s">
        <v>363</v>
      </c>
      <c r="I3258" t="s">
        <v>4529</v>
      </c>
      <c r="L3258" t="s">
        <v>20</v>
      </c>
      <c r="M3258" t="s">
        <v>12194</v>
      </c>
    </row>
    <row r="3259" spans="1:13" x14ac:dyDescent="0.25">
      <c r="A3259">
        <v>7014256</v>
      </c>
      <c r="B3259" t="s">
        <v>12195</v>
      </c>
      <c r="C3259" t="str">
        <f>""</f>
        <v/>
      </c>
      <c r="D3259" t="str">
        <f>"9788366675643"</f>
        <v>9788366675643</v>
      </c>
      <c r="E3259" t="s">
        <v>350</v>
      </c>
      <c r="F3259" s="1">
        <v>44561</v>
      </c>
      <c r="G3259" t="s">
        <v>12196</v>
      </c>
      <c r="H3259" t="s">
        <v>7499</v>
      </c>
      <c r="L3259" t="s">
        <v>20</v>
      </c>
      <c r="M3259" t="s">
        <v>12197</v>
      </c>
    </row>
    <row r="3260" spans="1:13" x14ac:dyDescent="0.25">
      <c r="A3260">
        <v>7014806</v>
      </c>
      <c r="B3260" t="s">
        <v>12198</v>
      </c>
      <c r="C3260" t="str">
        <f>"9783486563955"</f>
        <v>9783486563955</v>
      </c>
      <c r="D3260" t="str">
        <f>"9783486594423"</f>
        <v>9783486594423</v>
      </c>
      <c r="E3260" t="s">
        <v>350</v>
      </c>
      <c r="F3260" s="1">
        <v>36439</v>
      </c>
      <c r="G3260" t="s">
        <v>12199</v>
      </c>
      <c r="H3260" t="s">
        <v>139</v>
      </c>
      <c r="L3260" t="s">
        <v>291</v>
      </c>
      <c r="M3260" t="s">
        <v>12200</v>
      </c>
    </row>
    <row r="3261" spans="1:13" x14ac:dyDescent="0.25">
      <c r="A3261">
        <v>7014807</v>
      </c>
      <c r="B3261" t="s">
        <v>12201</v>
      </c>
      <c r="C3261" t="str">
        <f>""</f>
        <v/>
      </c>
      <c r="D3261" t="str">
        <f>"9783110758009"</f>
        <v>9783110758009</v>
      </c>
      <c r="E3261" t="s">
        <v>350</v>
      </c>
      <c r="F3261" s="1">
        <v>44550</v>
      </c>
      <c r="G3261" t="s">
        <v>12202</v>
      </c>
      <c r="H3261" t="s">
        <v>3107</v>
      </c>
      <c r="L3261" t="s">
        <v>291</v>
      </c>
      <c r="M3261" t="s">
        <v>12203</v>
      </c>
    </row>
    <row r="3262" spans="1:13" x14ac:dyDescent="0.25">
      <c r="A3262">
        <v>7014808</v>
      </c>
      <c r="B3262" t="s">
        <v>12204</v>
      </c>
      <c r="C3262" t="str">
        <f>"9783486545111"</f>
        <v>9783486545111</v>
      </c>
      <c r="D3262" t="str">
        <f>"9783486595550"</f>
        <v>9783486595550</v>
      </c>
      <c r="E3262" t="s">
        <v>350</v>
      </c>
      <c r="F3262" s="1">
        <v>32491</v>
      </c>
      <c r="G3262" t="s">
        <v>12205</v>
      </c>
      <c r="H3262" t="s">
        <v>851</v>
      </c>
      <c r="J3262" t="s">
        <v>12206</v>
      </c>
      <c r="L3262" t="s">
        <v>291</v>
      </c>
      <c r="M3262" t="s">
        <v>12207</v>
      </c>
    </row>
    <row r="3263" spans="1:13" x14ac:dyDescent="0.25">
      <c r="A3263">
        <v>7014809</v>
      </c>
      <c r="B3263" t="s">
        <v>12208</v>
      </c>
      <c r="C3263" t="str">
        <f>""</f>
        <v/>
      </c>
      <c r="D3263" t="str">
        <f>"9783111574066"</f>
        <v>9783111574066</v>
      </c>
      <c r="E3263" t="s">
        <v>350</v>
      </c>
      <c r="F3263" s="1">
        <v>1187</v>
      </c>
      <c r="G3263" t="s">
        <v>12209</v>
      </c>
      <c r="H3263" t="s">
        <v>310</v>
      </c>
      <c r="L3263" t="s">
        <v>291</v>
      </c>
      <c r="M3263" t="s">
        <v>12210</v>
      </c>
    </row>
    <row r="3264" spans="1:13" x14ac:dyDescent="0.25">
      <c r="A3264">
        <v>7014810</v>
      </c>
      <c r="B3264" t="s">
        <v>12211</v>
      </c>
      <c r="C3264" t="str">
        <f>""</f>
        <v/>
      </c>
      <c r="D3264" t="str">
        <f>"9783110720341"</f>
        <v>9783110720341</v>
      </c>
      <c r="E3264" t="s">
        <v>350</v>
      </c>
      <c r="F3264" s="1">
        <v>43025</v>
      </c>
      <c r="G3264" t="s">
        <v>12212</v>
      </c>
      <c r="H3264" t="s">
        <v>139</v>
      </c>
      <c r="L3264" t="s">
        <v>291</v>
      </c>
      <c r="M3264" t="s">
        <v>12213</v>
      </c>
    </row>
    <row r="3265" spans="1:13" x14ac:dyDescent="0.25">
      <c r="A3265">
        <v>7014812</v>
      </c>
      <c r="B3265" t="s">
        <v>12214</v>
      </c>
      <c r="C3265" t="str">
        <f>""</f>
        <v/>
      </c>
      <c r="D3265" t="str">
        <f>"9783110720136"</f>
        <v>9783110720136</v>
      </c>
      <c r="E3265" t="s">
        <v>350</v>
      </c>
      <c r="F3265" s="1">
        <v>42265</v>
      </c>
      <c r="G3265" t="s">
        <v>12215</v>
      </c>
      <c r="H3265" t="s">
        <v>139</v>
      </c>
      <c r="L3265" t="s">
        <v>291</v>
      </c>
      <c r="M3265" t="s">
        <v>12216</v>
      </c>
    </row>
    <row r="3266" spans="1:13" x14ac:dyDescent="0.25">
      <c r="A3266">
        <v>7014813</v>
      </c>
      <c r="B3266" t="s">
        <v>12217</v>
      </c>
      <c r="C3266" t="str">
        <f>""</f>
        <v/>
      </c>
      <c r="D3266" t="str">
        <f>"9783110705805"</f>
        <v>9783110705805</v>
      </c>
      <c r="E3266" t="s">
        <v>350</v>
      </c>
      <c r="F3266" s="1">
        <v>44214</v>
      </c>
      <c r="G3266" t="s">
        <v>12218</v>
      </c>
      <c r="H3266" t="s">
        <v>139</v>
      </c>
      <c r="J3266">
        <v>936</v>
      </c>
      <c r="L3266" t="s">
        <v>20</v>
      </c>
      <c r="M3266" t="s">
        <v>12219</v>
      </c>
    </row>
    <row r="3267" spans="1:13" x14ac:dyDescent="0.25">
      <c r="A3267">
        <v>7014814</v>
      </c>
      <c r="B3267" t="s">
        <v>12220</v>
      </c>
      <c r="C3267" t="str">
        <f>""</f>
        <v/>
      </c>
      <c r="D3267" t="str">
        <f>"9783110703443"</f>
        <v>9783110703443</v>
      </c>
      <c r="E3267" t="s">
        <v>350</v>
      </c>
      <c r="F3267" s="1">
        <v>44446</v>
      </c>
      <c r="G3267" t="s">
        <v>4351</v>
      </c>
      <c r="H3267" t="s">
        <v>70</v>
      </c>
      <c r="L3267" t="s">
        <v>291</v>
      </c>
      <c r="M3267" t="s">
        <v>12221</v>
      </c>
    </row>
    <row r="3268" spans="1:13" x14ac:dyDescent="0.25">
      <c r="A3268">
        <v>7014815</v>
      </c>
      <c r="B3268" t="s">
        <v>12222</v>
      </c>
      <c r="C3268" t="str">
        <f>"9781501511400"</f>
        <v>9781501511400</v>
      </c>
      <c r="D3268" t="str">
        <f>"9781501503191"</f>
        <v>9781501503191</v>
      </c>
      <c r="E3268" t="s">
        <v>270</v>
      </c>
      <c r="F3268" s="1">
        <v>44263</v>
      </c>
      <c r="G3268" t="s">
        <v>12223</v>
      </c>
      <c r="H3268" t="s">
        <v>70</v>
      </c>
      <c r="L3268" t="s">
        <v>20</v>
      </c>
      <c r="M3268" t="s">
        <v>12224</v>
      </c>
    </row>
    <row r="3269" spans="1:13" x14ac:dyDescent="0.25">
      <c r="A3269">
        <v>7014816</v>
      </c>
      <c r="B3269" t="s">
        <v>12225</v>
      </c>
      <c r="C3269" t="str">
        <f>""</f>
        <v/>
      </c>
      <c r="D3269" t="str">
        <f>"9783110720051"</f>
        <v>9783110720051</v>
      </c>
      <c r="E3269" t="s">
        <v>350</v>
      </c>
      <c r="F3269" s="1">
        <v>40648</v>
      </c>
      <c r="G3269" t="s">
        <v>12226</v>
      </c>
      <c r="H3269" t="s">
        <v>363</v>
      </c>
      <c r="L3269" t="s">
        <v>291</v>
      </c>
      <c r="M3269" t="s">
        <v>12227</v>
      </c>
    </row>
    <row r="3270" spans="1:13" x14ac:dyDescent="0.25">
      <c r="A3270">
        <v>7014817</v>
      </c>
      <c r="B3270" t="s">
        <v>12228</v>
      </c>
      <c r="C3270" t="str">
        <f>"9783110526561"</f>
        <v>9783110526561</v>
      </c>
      <c r="D3270" t="str">
        <f>"9783110534696"</f>
        <v>9783110534696</v>
      </c>
      <c r="E3270" t="s">
        <v>350</v>
      </c>
      <c r="F3270" s="1">
        <v>43381</v>
      </c>
      <c r="G3270" t="s">
        <v>12229</v>
      </c>
      <c r="H3270" t="s">
        <v>2368</v>
      </c>
      <c r="J3270">
        <v>330.94054999999997</v>
      </c>
      <c r="L3270" t="s">
        <v>20</v>
      </c>
      <c r="M3270" t="s">
        <v>12230</v>
      </c>
    </row>
    <row r="3271" spans="1:13" x14ac:dyDescent="0.25">
      <c r="A3271">
        <v>7014818</v>
      </c>
      <c r="B3271" t="s">
        <v>12231</v>
      </c>
      <c r="C3271" t="str">
        <f>""</f>
        <v/>
      </c>
      <c r="D3271" t="str">
        <f>"9783110707151"</f>
        <v>9783110707151</v>
      </c>
      <c r="E3271" t="s">
        <v>350</v>
      </c>
      <c r="F3271" s="1">
        <v>44130</v>
      </c>
      <c r="G3271" t="s">
        <v>12232</v>
      </c>
      <c r="H3271" t="s">
        <v>266</v>
      </c>
      <c r="L3271" t="s">
        <v>291</v>
      </c>
      <c r="M3271" t="s">
        <v>12233</v>
      </c>
    </row>
    <row r="3272" spans="1:13" x14ac:dyDescent="0.25">
      <c r="A3272">
        <v>7014819</v>
      </c>
      <c r="B3272" t="s">
        <v>12234</v>
      </c>
      <c r="C3272" t="str">
        <f>""</f>
        <v/>
      </c>
      <c r="D3272" t="str">
        <f>"9783110716207"</f>
        <v>9783110716207</v>
      </c>
      <c r="E3272" t="s">
        <v>350</v>
      </c>
      <c r="F3272" s="1">
        <v>44522</v>
      </c>
      <c r="G3272" t="s">
        <v>12235</v>
      </c>
      <c r="H3272" t="s">
        <v>851</v>
      </c>
      <c r="L3272" t="s">
        <v>20</v>
      </c>
      <c r="M3272" t="s">
        <v>12236</v>
      </c>
    </row>
    <row r="3273" spans="1:13" x14ac:dyDescent="0.25">
      <c r="A3273">
        <v>7014820</v>
      </c>
      <c r="B3273" t="s">
        <v>12237</v>
      </c>
      <c r="C3273" t="str">
        <f>""</f>
        <v/>
      </c>
      <c r="D3273" t="str">
        <f>"9783035624373"</f>
        <v>9783035624373</v>
      </c>
      <c r="E3273" t="s">
        <v>350</v>
      </c>
      <c r="F3273" s="1">
        <v>44561</v>
      </c>
      <c r="G3273" t="s">
        <v>12238</v>
      </c>
      <c r="H3273" t="s">
        <v>806</v>
      </c>
      <c r="L3273" t="s">
        <v>20</v>
      </c>
      <c r="M3273" t="s">
        <v>12239</v>
      </c>
    </row>
    <row r="3274" spans="1:13" x14ac:dyDescent="0.25">
      <c r="A3274">
        <v>7014821</v>
      </c>
      <c r="B3274" t="s">
        <v>12240</v>
      </c>
      <c r="C3274" t="str">
        <f>""</f>
        <v/>
      </c>
      <c r="D3274" t="str">
        <f>"9783110688719"</f>
        <v>9783110688719</v>
      </c>
      <c r="E3274" t="s">
        <v>350</v>
      </c>
      <c r="F3274" s="1">
        <v>44277</v>
      </c>
      <c r="G3274" t="s">
        <v>12241</v>
      </c>
      <c r="H3274" t="s">
        <v>70</v>
      </c>
      <c r="L3274" t="s">
        <v>20</v>
      </c>
      <c r="M3274" t="s">
        <v>12242</v>
      </c>
    </row>
    <row r="3275" spans="1:13" x14ac:dyDescent="0.25">
      <c r="A3275">
        <v>7014822</v>
      </c>
      <c r="B3275" t="s">
        <v>12243</v>
      </c>
      <c r="C3275" t="str">
        <f>""</f>
        <v/>
      </c>
      <c r="D3275" t="str">
        <f>"9783110440577"</f>
        <v>9783110440577</v>
      </c>
      <c r="E3275" t="s">
        <v>270</v>
      </c>
      <c r="F3275" s="1">
        <v>43941</v>
      </c>
      <c r="G3275" t="s">
        <v>12244</v>
      </c>
      <c r="H3275" t="s">
        <v>851</v>
      </c>
      <c r="J3275">
        <v>410</v>
      </c>
      <c r="L3275" t="s">
        <v>20</v>
      </c>
      <c r="M3275" t="s">
        <v>12245</v>
      </c>
    </row>
    <row r="3276" spans="1:13" x14ac:dyDescent="0.25">
      <c r="A3276">
        <v>7014823</v>
      </c>
      <c r="B3276" t="s">
        <v>12246</v>
      </c>
      <c r="C3276" t="str">
        <f>""</f>
        <v/>
      </c>
      <c r="D3276" t="str">
        <f>"9783110720372"</f>
        <v>9783110720372</v>
      </c>
      <c r="E3276" t="s">
        <v>350</v>
      </c>
      <c r="F3276" s="1">
        <v>43276</v>
      </c>
      <c r="G3276" t="s">
        <v>12247</v>
      </c>
      <c r="H3276" t="s">
        <v>851</v>
      </c>
      <c r="L3276" t="s">
        <v>20</v>
      </c>
      <c r="M3276" t="s">
        <v>12248</v>
      </c>
    </row>
    <row r="3277" spans="1:13" x14ac:dyDescent="0.25">
      <c r="A3277">
        <v>7014824</v>
      </c>
      <c r="B3277" t="s">
        <v>12249</v>
      </c>
      <c r="C3277" t="str">
        <f>""</f>
        <v/>
      </c>
      <c r="D3277" t="str">
        <f>"9783111685328"</f>
        <v>9783111685328</v>
      </c>
      <c r="E3277" t="s">
        <v>350</v>
      </c>
      <c r="F3277" t="s">
        <v>12250</v>
      </c>
      <c r="G3277" t="s">
        <v>12251</v>
      </c>
      <c r="H3277" t="s">
        <v>310</v>
      </c>
      <c r="L3277" t="s">
        <v>291</v>
      </c>
      <c r="M3277" t="s">
        <v>12252</v>
      </c>
    </row>
    <row r="3278" spans="1:13" x14ac:dyDescent="0.25">
      <c r="A3278">
        <v>7014825</v>
      </c>
      <c r="B3278" t="s">
        <v>12253</v>
      </c>
      <c r="C3278" t="str">
        <f>""</f>
        <v/>
      </c>
      <c r="D3278" t="str">
        <f>"9783486767797"</f>
        <v>9783486767797</v>
      </c>
      <c r="E3278" t="s">
        <v>350</v>
      </c>
      <c r="F3278" s="1">
        <v>12055</v>
      </c>
      <c r="G3278" t="s">
        <v>12254</v>
      </c>
      <c r="H3278" t="s">
        <v>70</v>
      </c>
      <c r="L3278" t="s">
        <v>291</v>
      </c>
      <c r="M3278" t="s">
        <v>12255</v>
      </c>
    </row>
    <row r="3279" spans="1:13" x14ac:dyDescent="0.25">
      <c r="A3279">
        <v>7014826</v>
      </c>
      <c r="B3279" t="s">
        <v>12256</v>
      </c>
      <c r="C3279" t="str">
        <f>""</f>
        <v/>
      </c>
      <c r="D3279" t="str">
        <f>"9783110720310"</f>
        <v>9783110720310</v>
      </c>
      <c r="E3279" t="s">
        <v>350</v>
      </c>
      <c r="F3279" s="1">
        <v>42551</v>
      </c>
      <c r="G3279" t="s">
        <v>12212</v>
      </c>
      <c r="H3279" t="s">
        <v>64</v>
      </c>
      <c r="L3279" t="s">
        <v>291</v>
      </c>
      <c r="M3279" t="s">
        <v>12257</v>
      </c>
    </row>
    <row r="3280" spans="1:13" x14ac:dyDescent="0.25">
      <c r="A3280">
        <v>7014827</v>
      </c>
      <c r="B3280" t="s">
        <v>12258</v>
      </c>
      <c r="C3280" t="str">
        <f>""</f>
        <v/>
      </c>
      <c r="D3280" t="str">
        <f>"9783110740202"</f>
        <v>9783110740202</v>
      </c>
      <c r="E3280" t="s">
        <v>350</v>
      </c>
      <c r="F3280" s="1">
        <v>44446</v>
      </c>
      <c r="G3280" t="s">
        <v>12259</v>
      </c>
      <c r="H3280" t="s">
        <v>64</v>
      </c>
      <c r="J3280">
        <v>302.23090000000002</v>
      </c>
      <c r="L3280" t="s">
        <v>20</v>
      </c>
      <c r="M3280" t="s">
        <v>12260</v>
      </c>
    </row>
    <row r="3281" spans="1:13" x14ac:dyDescent="0.25">
      <c r="A3281">
        <v>7014828</v>
      </c>
      <c r="B3281" t="s">
        <v>12261</v>
      </c>
      <c r="C3281" t="str">
        <f>""</f>
        <v/>
      </c>
      <c r="D3281" t="str">
        <f>"9783110693461"</f>
        <v>9783110693461</v>
      </c>
      <c r="E3281" t="s">
        <v>350</v>
      </c>
      <c r="F3281" s="1">
        <v>44053</v>
      </c>
      <c r="G3281" t="s">
        <v>12262</v>
      </c>
      <c r="H3281" t="s">
        <v>1551</v>
      </c>
      <c r="L3281" t="s">
        <v>291</v>
      </c>
      <c r="M3281" t="s">
        <v>12263</v>
      </c>
    </row>
    <row r="3282" spans="1:13" x14ac:dyDescent="0.25">
      <c r="A3282">
        <v>7014829</v>
      </c>
      <c r="B3282" t="s">
        <v>12264</v>
      </c>
      <c r="C3282" t="str">
        <f>""</f>
        <v/>
      </c>
      <c r="D3282" t="str">
        <f>"9783486594249"</f>
        <v>9783486594249</v>
      </c>
      <c r="E3282" t="s">
        <v>350</v>
      </c>
      <c r="F3282" s="1">
        <v>35459</v>
      </c>
      <c r="G3282" t="s">
        <v>12265</v>
      </c>
      <c r="H3282" t="s">
        <v>139</v>
      </c>
      <c r="L3282" t="s">
        <v>291</v>
      </c>
      <c r="M3282" t="s">
        <v>12266</v>
      </c>
    </row>
    <row r="3283" spans="1:13" x14ac:dyDescent="0.25">
      <c r="A3283">
        <v>7014830</v>
      </c>
      <c r="B3283" t="s">
        <v>12267</v>
      </c>
      <c r="C3283" t="str">
        <f>""</f>
        <v/>
      </c>
      <c r="D3283" t="str">
        <f>"9783111342429"</f>
        <v>9783111342429</v>
      </c>
      <c r="E3283" t="s">
        <v>270</v>
      </c>
      <c r="F3283" s="1">
        <v>27120</v>
      </c>
      <c r="G3283" t="s">
        <v>12268</v>
      </c>
      <c r="H3283" t="s">
        <v>3107</v>
      </c>
      <c r="L3283" t="s">
        <v>20</v>
      </c>
      <c r="M3283" t="s">
        <v>12269</v>
      </c>
    </row>
    <row r="3284" spans="1:13" x14ac:dyDescent="0.25">
      <c r="A3284">
        <v>7014831</v>
      </c>
      <c r="B3284" t="s">
        <v>12270</v>
      </c>
      <c r="C3284" t="str">
        <f>""</f>
        <v/>
      </c>
      <c r="D3284" t="str">
        <f>"9788395815041"</f>
        <v>9788395815041</v>
      </c>
      <c r="E3284" t="s">
        <v>350</v>
      </c>
      <c r="F3284" s="1">
        <v>44249</v>
      </c>
      <c r="G3284" t="s">
        <v>12271</v>
      </c>
      <c r="H3284" t="s">
        <v>2368</v>
      </c>
      <c r="L3284" t="s">
        <v>20</v>
      </c>
      <c r="M3284" t="s">
        <v>12272</v>
      </c>
    </row>
    <row r="3285" spans="1:13" x14ac:dyDescent="0.25">
      <c r="A3285">
        <v>7014832</v>
      </c>
      <c r="B3285" t="s">
        <v>12273</v>
      </c>
      <c r="C3285" t="str">
        <f>""</f>
        <v/>
      </c>
      <c r="D3285" t="str">
        <f>"9783110726305"</f>
        <v>9783110726305</v>
      </c>
      <c r="E3285" t="s">
        <v>350</v>
      </c>
      <c r="F3285" s="1">
        <v>44382</v>
      </c>
      <c r="G3285" t="s">
        <v>12274</v>
      </c>
      <c r="H3285" t="s">
        <v>64</v>
      </c>
      <c r="L3285" t="s">
        <v>20</v>
      </c>
      <c r="M3285" t="s">
        <v>12275</v>
      </c>
    </row>
    <row r="3286" spans="1:13" x14ac:dyDescent="0.25">
      <c r="A3286">
        <v>7014833</v>
      </c>
      <c r="B3286" t="s">
        <v>12276</v>
      </c>
      <c r="C3286" t="str">
        <f>""</f>
        <v/>
      </c>
      <c r="D3286" t="str">
        <f>"9783111729107"</f>
        <v>9783111729107</v>
      </c>
      <c r="E3286" t="s">
        <v>270</v>
      </c>
      <c r="F3286" s="1">
        <v>27485</v>
      </c>
      <c r="G3286" t="s">
        <v>12277</v>
      </c>
      <c r="H3286" t="s">
        <v>4413</v>
      </c>
      <c r="L3286" t="s">
        <v>1279</v>
      </c>
      <c r="M3286" t="s">
        <v>12278</v>
      </c>
    </row>
    <row r="3287" spans="1:13" x14ac:dyDescent="0.25">
      <c r="A3287">
        <v>7014834</v>
      </c>
      <c r="B3287" t="s">
        <v>12279</v>
      </c>
      <c r="C3287" t="str">
        <f>""</f>
        <v/>
      </c>
      <c r="D3287" t="str">
        <f>"9783110713015"</f>
        <v>9783110713015</v>
      </c>
      <c r="E3287" t="s">
        <v>350</v>
      </c>
      <c r="F3287" s="1">
        <v>44181</v>
      </c>
      <c r="G3287" t="s">
        <v>12280</v>
      </c>
      <c r="H3287" t="s">
        <v>4109</v>
      </c>
      <c r="J3287">
        <v>70.509809039999993</v>
      </c>
      <c r="L3287" t="s">
        <v>20</v>
      </c>
      <c r="M3287" t="s">
        <v>12281</v>
      </c>
    </row>
    <row r="3288" spans="1:13" x14ac:dyDescent="0.25">
      <c r="A3288">
        <v>7014835</v>
      </c>
      <c r="B3288" t="s">
        <v>12282</v>
      </c>
      <c r="C3288" t="str">
        <f>""</f>
        <v/>
      </c>
      <c r="D3288" t="str">
        <f>"9788395669613"</f>
        <v>9788395669613</v>
      </c>
      <c r="E3288" t="s">
        <v>350</v>
      </c>
      <c r="F3288" s="1">
        <v>44396</v>
      </c>
      <c r="G3288" t="s">
        <v>12283</v>
      </c>
      <c r="H3288" t="s">
        <v>7499</v>
      </c>
      <c r="L3288" t="s">
        <v>20</v>
      </c>
      <c r="M3288" t="s">
        <v>12284</v>
      </c>
    </row>
    <row r="3289" spans="1:13" x14ac:dyDescent="0.25">
      <c r="A3289">
        <v>7014836</v>
      </c>
      <c r="B3289" t="s">
        <v>12285</v>
      </c>
      <c r="C3289" t="str">
        <f>""</f>
        <v/>
      </c>
      <c r="D3289" t="str">
        <f>"9783111409832"</f>
        <v>9783111409832</v>
      </c>
      <c r="E3289" t="s">
        <v>350</v>
      </c>
      <c r="F3289" s="1">
        <v>26390</v>
      </c>
      <c r="G3289" t="s">
        <v>12286</v>
      </c>
      <c r="H3289" t="s">
        <v>239</v>
      </c>
      <c r="L3289" t="s">
        <v>291</v>
      </c>
      <c r="M3289" t="s">
        <v>12287</v>
      </c>
    </row>
    <row r="3290" spans="1:13" x14ac:dyDescent="0.25">
      <c r="A3290">
        <v>7014837</v>
      </c>
      <c r="B3290" t="s">
        <v>12288</v>
      </c>
      <c r="C3290" t="str">
        <f>""</f>
        <v/>
      </c>
      <c r="D3290" t="str">
        <f>"9783110741124"</f>
        <v>9783110741124</v>
      </c>
      <c r="E3290" t="s">
        <v>350</v>
      </c>
      <c r="F3290" s="1">
        <v>44382</v>
      </c>
      <c r="G3290" t="s">
        <v>12289</v>
      </c>
      <c r="H3290" t="s">
        <v>363</v>
      </c>
      <c r="J3290">
        <v>370.9</v>
      </c>
      <c r="L3290" t="s">
        <v>20</v>
      </c>
      <c r="M3290" t="s">
        <v>12290</v>
      </c>
    </row>
    <row r="3291" spans="1:13" x14ac:dyDescent="0.25">
      <c r="A3291">
        <v>7014838</v>
      </c>
      <c r="B3291" t="s">
        <v>12291</v>
      </c>
      <c r="C3291" t="str">
        <f>""</f>
        <v/>
      </c>
      <c r="D3291" t="str">
        <f>"9783110701319"</f>
        <v>9783110701319</v>
      </c>
      <c r="E3291" t="s">
        <v>350</v>
      </c>
      <c r="F3291" s="1">
        <v>44095</v>
      </c>
      <c r="G3291" t="s">
        <v>12292</v>
      </c>
      <c r="H3291" t="s">
        <v>662</v>
      </c>
      <c r="L3291" t="s">
        <v>291</v>
      </c>
      <c r="M3291" t="s">
        <v>12293</v>
      </c>
    </row>
    <row r="3292" spans="1:13" x14ac:dyDescent="0.25">
      <c r="A3292">
        <v>7014839</v>
      </c>
      <c r="B3292" t="s">
        <v>12294</v>
      </c>
      <c r="C3292" t="str">
        <f>""</f>
        <v/>
      </c>
      <c r="D3292" t="str">
        <f>"9783111572840"</f>
        <v>9783111572840</v>
      </c>
      <c r="E3292" t="s">
        <v>350</v>
      </c>
      <c r="F3292" t="s">
        <v>12295</v>
      </c>
      <c r="G3292" t="s">
        <v>12296</v>
      </c>
      <c r="H3292" t="s">
        <v>310</v>
      </c>
      <c r="L3292" t="s">
        <v>291</v>
      </c>
      <c r="M3292" t="s">
        <v>12297</v>
      </c>
    </row>
    <row r="3293" spans="1:13" x14ac:dyDescent="0.25">
      <c r="A3293">
        <v>7014840</v>
      </c>
      <c r="B3293" t="s">
        <v>12298</v>
      </c>
      <c r="C3293" t="str">
        <f>""</f>
        <v/>
      </c>
      <c r="D3293" t="str">
        <f>"9783110731958"</f>
        <v>9783110731958</v>
      </c>
      <c r="E3293" t="s">
        <v>350</v>
      </c>
      <c r="F3293" s="1">
        <v>44446</v>
      </c>
      <c r="G3293" t="s">
        <v>12299</v>
      </c>
      <c r="H3293" t="s">
        <v>851</v>
      </c>
      <c r="L3293" t="s">
        <v>291</v>
      </c>
      <c r="M3293" t="s">
        <v>12300</v>
      </c>
    </row>
    <row r="3294" spans="1:13" x14ac:dyDescent="0.25">
      <c r="A3294">
        <v>7014841</v>
      </c>
      <c r="B3294" t="s">
        <v>12301</v>
      </c>
      <c r="C3294" t="str">
        <f>""</f>
        <v/>
      </c>
      <c r="D3294" t="str">
        <f>"9783486754728"</f>
        <v>9783486754728</v>
      </c>
      <c r="E3294" t="s">
        <v>350</v>
      </c>
      <c r="F3294" s="1">
        <v>9863</v>
      </c>
      <c r="G3294" t="s">
        <v>12302</v>
      </c>
      <c r="H3294" t="s">
        <v>30</v>
      </c>
      <c r="L3294" t="s">
        <v>291</v>
      </c>
      <c r="M3294" t="s">
        <v>12303</v>
      </c>
    </row>
    <row r="3295" spans="1:13" x14ac:dyDescent="0.25">
      <c r="A3295">
        <v>7014842</v>
      </c>
      <c r="B3295" t="s">
        <v>12304</v>
      </c>
      <c r="C3295" t="str">
        <f>""</f>
        <v/>
      </c>
      <c r="D3295" t="str">
        <f>"9783110670523"</f>
        <v>9783110670523</v>
      </c>
      <c r="E3295" t="s">
        <v>350</v>
      </c>
      <c r="F3295" s="1">
        <v>44067</v>
      </c>
      <c r="G3295" t="s">
        <v>12305</v>
      </c>
      <c r="H3295" t="s">
        <v>139</v>
      </c>
      <c r="L3295" t="s">
        <v>20</v>
      </c>
      <c r="M3295" t="s">
        <v>12306</v>
      </c>
    </row>
    <row r="3296" spans="1:13" x14ac:dyDescent="0.25">
      <c r="A3296">
        <v>7014843</v>
      </c>
      <c r="B3296" t="s">
        <v>12307</v>
      </c>
      <c r="C3296" t="str">
        <f>"9783110601282"</f>
        <v>9783110601282</v>
      </c>
      <c r="D3296" t="str">
        <f>"9783110601299"</f>
        <v>9783110601299</v>
      </c>
      <c r="E3296" t="s">
        <v>350</v>
      </c>
      <c r="F3296" s="1">
        <v>43300</v>
      </c>
      <c r="G3296" t="s">
        <v>12308</v>
      </c>
      <c r="H3296" t="s">
        <v>662</v>
      </c>
      <c r="L3296" t="s">
        <v>20</v>
      </c>
      <c r="M3296" t="s">
        <v>12309</v>
      </c>
    </row>
    <row r="3297" spans="1:13" x14ac:dyDescent="0.25">
      <c r="A3297">
        <v>7014844</v>
      </c>
      <c r="B3297" t="s">
        <v>12310</v>
      </c>
      <c r="C3297" t="str">
        <f>""</f>
        <v/>
      </c>
      <c r="D3297" t="str">
        <f>"9783110572933"</f>
        <v>9783110572933</v>
      </c>
      <c r="E3297" t="s">
        <v>350</v>
      </c>
      <c r="F3297" s="1">
        <v>44508</v>
      </c>
      <c r="G3297" t="s">
        <v>12311</v>
      </c>
      <c r="H3297" t="s">
        <v>851</v>
      </c>
      <c r="L3297" t="s">
        <v>291</v>
      </c>
      <c r="M3297" t="s">
        <v>12312</v>
      </c>
    </row>
    <row r="3298" spans="1:13" x14ac:dyDescent="0.25">
      <c r="A3298">
        <v>7014845</v>
      </c>
      <c r="B3298" t="s">
        <v>12313</v>
      </c>
      <c r="C3298" t="str">
        <f>""</f>
        <v/>
      </c>
      <c r="D3298" t="str">
        <f>"9783110671971"</f>
        <v>9783110671971</v>
      </c>
      <c r="E3298" t="s">
        <v>350</v>
      </c>
      <c r="F3298" s="1">
        <v>44522</v>
      </c>
      <c r="G3298" t="s">
        <v>4364</v>
      </c>
      <c r="H3298" t="s">
        <v>139</v>
      </c>
      <c r="L3298" t="s">
        <v>20</v>
      </c>
      <c r="M3298" t="s">
        <v>12314</v>
      </c>
    </row>
    <row r="3299" spans="1:13" x14ac:dyDescent="0.25">
      <c r="A3299">
        <v>7014846</v>
      </c>
      <c r="B3299" t="s">
        <v>12315</v>
      </c>
      <c r="C3299" t="str">
        <f>""</f>
        <v/>
      </c>
      <c r="D3299" t="str">
        <f>"9783035622751"</f>
        <v>9783035622751</v>
      </c>
      <c r="E3299" t="s">
        <v>350</v>
      </c>
      <c r="F3299" s="1">
        <v>44186</v>
      </c>
      <c r="G3299" t="s">
        <v>12316</v>
      </c>
      <c r="H3299" t="s">
        <v>3862</v>
      </c>
      <c r="L3299" t="s">
        <v>20</v>
      </c>
      <c r="M3299" t="s">
        <v>12317</v>
      </c>
    </row>
    <row r="3300" spans="1:13" x14ac:dyDescent="0.25">
      <c r="A3300">
        <v>7014847</v>
      </c>
      <c r="B3300" t="s">
        <v>12318</v>
      </c>
      <c r="C3300" t="str">
        <f>""</f>
        <v/>
      </c>
      <c r="D3300" t="str">
        <f>"9783110697667"</f>
        <v>9783110697667</v>
      </c>
      <c r="E3300" t="s">
        <v>350</v>
      </c>
      <c r="F3300" s="1">
        <v>44158</v>
      </c>
      <c r="G3300" t="s">
        <v>12319</v>
      </c>
      <c r="H3300" t="s">
        <v>3047</v>
      </c>
      <c r="L3300" t="s">
        <v>291</v>
      </c>
      <c r="M3300" t="s">
        <v>12320</v>
      </c>
    </row>
    <row r="3301" spans="1:13" x14ac:dyDescent="0.25">
      <c r="A3301">
        <v>7014848</v>
      </c>
      <c r="B3301" t="s">
        <v>12321</v>
      </c>
      <c r="C3301" t="str">
        <f>""</f>
        <v/>
      </c>
      <c r="D3301" t="str">
        <f>"9783110476958"</f>
        <v>9783110476958</v>
      </c>
      <c r="E3301" t="s">
        <v>350</v>
      </c>
      <c r="F3301" s="1">
        <v>43451</v>
      </c>
      <c r="G3301" t="s">
        <v>12322</v>
      </c>
      <c r="H3301" t="s">
        <v>851</v>
      </c>
      <c r="I3301" t="s">
        <v>12323</v>
      </c>
      <c r="L3301" t="s">
        <v>291</v>
      </c>
      <c r="M3301" t="s">
        <v>12324</v>
      </c>
    </row>
    <row r="3302" spans="1:13" x14ac:dyDescent="0.25">
      <c r="A3302">
        <v>7014849</v>
      </c>
      <c r="B3302" t="s">
        <v>12325</v>
      </c>
      <c r="C3302" t="str">
        <f>""</f>
        <v/>
      </c>
      <c r="D3302" t="str">
        <f>"9783110592153"</f>
        <v>9783110592153</v>
      </c>
      <c r="E3302" t="s">
        <v>350</v>
      </c>
      <c r="F3302" s="1">
        <v>44473</v>
      </c>
      <c r="G3302" t="s">
        <v>12326</v>
      </c>
      <c r="H3302" t="s">
        <v>310</v>
      </c>
      <c r="L3302" t="s">
        <v>12327</v>
      </c>
      <c r="M3302" t="s">
        <v>12328</v>
      </c>
    </row>
    <row r="3303" spans="1:13" x14ac:dyDescent="0.25">
      <c r="A3303">
        <v>7014850</v>
      </c>
      <c r="B3303" t="s">
        <v>12329</v>
      </c>
      <c r="C3303" t="str">
        <f>""</f>
        <v/>
      </c>
      <c r="D3303" t="str">
        <f>"9783110720280"</f>
        <v>9783110720280</v>
      </c>
      <c r="E3303" t="s">
        <v>350</v>
      </c>
      <c r="F3303" s="1">
        <v>42576</v>
      </c>
      <c r="G3303" t="s">
        <v>12330</v>
      </c>
      <c r="H3303" t="s">
        <v>64</v>
      </c>
      <c r="L3303" t="s">
        <v>20</v>
      </c>
      <c r="M3303" t="s">
        <v>12331</v>
      </c>
    </row>
    <row r="3304" spans="1:13" x14ac:dyDescent="0.25">
      <c r="A3304">
        <v>7014851</v>
      </c>
      <c r="B3304" t="s">
        <v>12332</v>
      </c>
      <c r="C3304" t="str">
        <f>""</f>
        <v/>
      </c>
      <c r="D3304" t="str">
        <f>"9783110740516"</f>
        <v>9783110740516</v>
      </c>
      <c r="E3304" t="s">
        <v>350</v>
      </c>
      <c r="F3304" s="1">
        <v>44522</v>
      </c>
      <c r="G3304" t="s">
        <v>12333</v>
      </c>
      <c r="H3304" t="s">
        <v>139</v>
      </c>
      <c r="L3304" t="s">
        <v>291</v>
      </c>
      <c r="M3304" t="s">
        <v>12334</v>
      </c>
    </row>
    <row r="3305" spans="1:13" x14ac:dyDescent="0.25">
      <c r="A3305">
        <v>7014852</v>
      </c>
      <c r="B3305" t="s">
        <v>12335</v>
      </c>
      <c r="C3305" t="str">
        <f>""</f>
        <v/>
      </c>
      <c r="D3305" t="str">
        <f>"9783110722383"</f>
        <v>9783110722383</v>
      </c>
      <c r="E3305" t="s">
        <v>350</v>
      </c>
      <c r="F3305" s="1">
        <v>44473</v>
      </c>
      <c r="G3305" t="s">
        <v>12336</v>
      </c>
      <c r="H3305" t="s">
        <v>851</v>
      </c>
      <c r="L3305" t="s">
        <v>4340</v>
      </c>
      <c r="M3305" t="s">
        <v>12337</v>
      </c>
    </row>
    <row r="3306" spans="1:13" x14ac:dyDescent="0.25">
      <c r="A3306">
        <v>7014853</v>
      </c>
      <c r="B3306" t="s">
        <v>12338</v>
      </c>
      <c r="C3306" t="str">
        <f>"9783486568172"</f>
        <v>9783486568172</v>
      </c>
      <c r="D3306" t="str">
        <f>"9783486594614"</f>
        <v>9783486594614</v>
      </c>
      <c r="E3306" t="s">
        <v>350</v>
      </c>
      <c r="F3306" s="1">
        <v>38217</v>
      </c>
      <c r="G3306" t="s">
        <v>12339</v>
      </c>
      <c r="H3306" t="s">
        <v>139</v>
      </c>
      <c r="L3306" t="s">
        <v>291</v>
      </c>
      <c r="M3306" t="s">
        <v>12340</v>
      </c>
    </row>
    <row r="3307" spans="1:13" x14ac:dyDescent="0.25">
      <c r="A3307">
        <v>7014854</v>
      </c>
      <c r="B3307" t="s">
        <v>12341</v>
      </c>
      <c r="C3307" t="str">
        <f>""</f>
        <v/>
      </c>
      <c r="D3307" t="str">
        <f>"9783110679403"</f>
        <v>9783110679403</v>
      </c>
      <c r="E3307" t="s">
        <v>350</v>
      </c>
      <c r="F3307" s="1">
        <v>44172</v>
      </c>
      <c r="G3307" t="s">
        <v>8065</v>
      </c>
      <c r="H3307" t="s">
        <v>512</v>
      </c>
      <c r="J3307" t="s">
        <v>12342</v>
      </c>
      <c r="L3307" t="s">
        <v>20</v>
      </c>
      <c r="M3307" t="s">
        <v>12343</v>
      </c>
    </row>
    <row r="3308" spans="1:13" x14ac:dyDescent="0.25">
      <c r="A3308">
        <v>7014855</v>
      </c>
      <c r="B3308" t="s">
        <v>12344</v>
      </c>
      <c r="C3308" t="str">
        <f>""</f>
        <v/>
      </c>
      <c r="D3308" t="str">
        <f>"9783110671827"</f>
        <v>9783110671827</v>
      </c>
      <c r="E3308" t="s">
        <v>350</v>
      </c>
      <c r="F3308" s="1">
        <v>44116</v>
      </c>
      <c r="G3308" t="s">
        <v>12345</v>
      </c>
      <c r="H3308" t="s">
        <v>139</v>
      </c>
      <c r="L3308" t="s">
        <v>291</v>
      </c>
      <c r="M3308" t="s">
        <v>12346</v>
      </c>
    </row>
    <row r="3309" spans="1:13" x14ac:dyDescent="0.25">
      <c r="A3309">
        <v>7014856</v>
      </c>
      <c r="B3309" t="s">
        <v>12347</v>
      </c>
      <c r="C3309" t="str">
        <f>""</f>
        <v/>
      </c>
      <c r="D3309" t="str">
        <f>"9783111591315"</f>
        <v>9783111591315</v>
      </c>
      <c r="E3309" t="s">
        <v>350</v>
      </c>
      <c r="F3309" t="s">
        <v>12295</v>
      </c>
      <c r="G3309" t="s">
        <v>12348</v>
      </c>
      <c r="H3309" t="s">
        <v>5011</v>
      </c>
      <c r="L3309" t="s">
        <v>291</v>
      </c>
      <c r="M3309" t="s">
        <v>12349</v>
      </c>
    </row>
    <row r="3310" spans="1:13" x14ac:dyDescent="0.25">
      <c r="A3310">
        <v>7014857</v>
      </c>
      <c r="B3310" t="s">
        <v>12350</v>
      </c>
      <c r="C3310" t="str">
        <f>""</f>
        <v/>
      </c>
      <c r="D3310" t="str">
        <f>"9783111677347"</f>
        <v>9783111677347</v>
      </c>
      <c r="E3310" t="s">
        <v>350</v>
      </c>
      <c r="F3310" s="1">
        <v>26755</v>
      </c>
      <c r="G3310" t="s">
        <v>12351</v>
      </c>
      <c r="H3310" t="s">
        <v>30</v>
      </c>
      <c r="L3310" t="s">
        <v>291</v>
      </c>
      <c r="M3310" t="s">
        <v>12352</v>
      </c>
    </row>
    <row r="3311" spans="1:13" x14ac:dyDescent="0.25">
      <c r="A3311">
        <v>7014859</v>
      </c>
      <c r="B3311" t="s">
        <v>12353</v>
      </c>
      <c r="C3311" t="str">
        <f>""</f>
        <v/>
      </c>
      <c r="D3311" t="str">
        <f>"9783111562575"</f>
        <v>9783111562575</v>
      </c>
      <c r="E3311" t="s">
        <v>270</v>
      </c>
      <c r="F3311" s="1">
        <v>24929</v>
      </c>
      <c r="G3311" t="s">
        <v>12354</v>
      </c>
      <c r="H3311" t="s">
        <v>139</v>
      </c>
      <c r="L3311" t="s">
        <v>20</v>
      </c>
      <c r="M3311" t="s">
        <v>12355</v>
      </c>
    </row>
    <row r="3312" spans="1:13" x14ac:dyDescent="0.25">
      <c r="A3312">
        <v>7014860</v>
      </c>
      <c r="B3312" t="s">
        <v>12356</v>
      </c>
      <c r="C3312" t="str">
        <f>""</f>
        <v/>
      </c>
      <c r="D3312" t="str">
        <f>"9783111715599"</f>
        <v>9783111715599</v>
      </c>
      <c r="E3312" t="s">
        <v>350</v>
      </c>
      <c r="F3312" s="1">
        <v>21641</v>
      </c>
      <c r="G3312" t="s">
        <v>12357</v>
      </c>
      <c r="H3312" t="s">
        <v>266</v>
      </c>
      <c r="L3312" t="s">
        <v>291</v>
      </c>
      <c r="M3312" t="s">
        <v>12358</v>
      </c>
    </row>
    <row r="3313" spans="1:13" x14ac:dyDescent="0.25">
      <c r="A3313">
        <v>7014861</v>
      </c>
      <c r="B3313" t="s">
        <v>12359</v>
      </c>
      <c r="C3313" t="str">
        <f>""</f>
        <v/>
      </c>
      <c r="D3313" t="str">
        <f>"9783111463216"</f>
        <v>9783111463216</v>
      </c>
      <c r="E3313" t="s">
        <v>350</v>
      </c>
      <c r="F3313" s="1">
        <v>92</v>
      </c>
      <c r="G3313" t="s">
        <v>12360</v>
      </c>
      <c r="H3313" t="s">
        <v>139</v>
      </c>
      <c r="L3313" t="s">
        <v>291</v>
      </c>
      <c r="M3313" t="s">
        <v>12361</v>
      </c>
    </row>
    <row r="3314" spans="1:13" x14ac:dyDescent="0.25">
      <c r="A3314">
        <v>7014862</v>
      </c>
      <c r="B3314" t="s">
        <v>12362</v>
      </c>
      <c r="C3314" t="str">
        <f>""</f>
        <v/>
      </c>
      <c r="D3314" t="str">
        <f>"9783111536491"</f>
        <v>9783111536491</v>
      </c>
      <c r="E3314" t="s">
        <v>350</v>
      </c>
      <c r="F3314" s="1">
        <v>25659</v>
      </c>
      <c r="G3314" t="s">
        <v>12363</v>
      </c>
      <c r="H3314" t="s">
        <v>239</v>
      </c>
      <c r="L3314" t="s">
        <v>291</v>
      </c>
      <c r="M3314" t="s">
        <v>12364</v>
      </c>
    </row>
    <row r="3315" spans="1:13" x14ac:dyDescent="0.25">
      <c r="A3315">
        <v>7014863</v>
      </c>
      <c r="B3315" t="s">
        <v>12365</v>
      </c>
      <c r="C3315" t="str">
        <f>"9783111317946"</f>
        <v>9783111317946</v>
      </c>
      <c r="D3315" t="str">
        <f>"9783111707464"</f>
        <v>9783111707464</v>
      </c>
      <c r="E3315" t="s">
        <v>350</v>
      </c>
      <c r="F3315" s="1">
        <v>5205</v>
      </c>
      <c r="G3315" t="s">
        <v>12366</v>
      </c>
      <c r="H3315" t="s">
        <v>239</v>
      </c>
      <c r="L3315" t="s">
        <v>291</v>
      </c>
      <c r="M3315" t="s">
        <v>12367</v>
      </c>
    </row>
    <row r="3316" spans="1:13" x14ac:dyDescent="0.25">
      <c r="A3316">
        <v>7014864</v>
      </c>
      <c r="B3316" t="s">
        <v>12368</v>
      </c>
      <c r="C3316" t="str">
        <f>""</f>
        <v/>
      </c>
      <c r="D3316" t="str">
        <f>"9783110712247"</f>
        <v>9783110712247</v>
      </c>
      <c r="E3316" t="s">
        <v>350</v>
      </c>
      <c r="F3316" s="1">
        <v>44277</v>
      </c>
      <c r="G3316" t="s">
        <v>12369</v>
      </c>
      <c r="H3316" t="s">
        <v>70</v>
      </c>
      <c r="L3316" t="s">
        <v>291</v>
      </c>
      <c r="M3316" t="s">
        <v>12370</v>
      </c>
    </row>
    <row r="3317" spans="1:13" x14ac:dyDescent="0.25">
      <c r="A3317">
        <v>7014865</v>
      </c>
      <c r="B3317" t="s">
        <v>12371</v>
      </c>
      <c r="C3317" t="str">
        <f>""</f>
        <v/>
      </c>
      <c r="D3317" t="str">
        <f>"9783110716313"</f>
        <v>9783110716313</v>
      </c>
      <c r="E3317" t="s">
        <v>350</v>
      </c>
      <c r="F3317" s="1">
        <v>44172</v>
      </c>
      <c r="G3317" t="s">
        <v>12372</v>
      </c>
      <c r="H3317" t="s">
        <v>139</v>
      </c>
      <c r="J3317" t="s">
        <v>12373</v>
      </c>
      <c r="L3317" t="s">
        <v>20</v>
      </c>
      <c r="M3317" t="s">
        <v>12374</v>
      </c>
    </row>
    <row r="3318" spans="1:13" x14ac:dyDescent="0.25">
      <c r="A3318">
        <v>7014866</v>
      </c>
      <c r="B3318" t="s">
        <v>12375</v>
      </c>
      <c r="C3318" t="str">
        <f>""</f>
        <v/>
      </c>
      <c r="D3318" t="str">
        <f>"9788366675308"</f>
        <v>9788366675308</v>
      </c>
      <c r="E3318" t="s">
        <v>350</v>
      </c>
      <c r="F3318" s="1">
        <v>44760</v>
      </c>
      <c r="G3318" t="s">
        <v>12376</v>
      </c>
      <c r="H3318" t="s">
        <v>2902</v>
      </c>
      <c r="L3318" t="s">
        <v>291</v>
      </c>
      <c r="M3318" t="s">
        <v>12377</v>
      </c>
    </row>
    <row r="3319" spans="1:13" x14ac:dyDescent="0.25">
      <c r="A3319">
        <v>7014867</v>
      </c>
      <c r="B3319" t="s">
        <v>12378</v>
      </c>
      <c r="C3319" t="str">
        <f>""</f>
        <v/>
      </c>
      <c r="D3319" t="str">
        <f>"9783110711356"</f>
        <v>9783110711356</v>
      </c>
      <c r="E3319" t="s">
        <v>350</v>
      </c>
      <c r="F3319" s="1">
        <v>44305</v>
      </c>
      <c r="G3319" t="s">
        <v>12379</v>
      </c>
      <c r="H3319" t="s">
        <v>139</v>
      </c>
      <c r="L3319" t="s">
        <v>291</v>
      </c>
      <c r="M3319" t="s">
        <v>12380</v>
      </c>
    </row>
    <row r="3320" spans="1:13" x14ac:dyDescent="0.25">
      <c r="A3320">
        <v>7014868</v>
      </c>
      <c r="B3320" t="s">
        <v>12381</v>
      </c>
      <c r="C3320" t="str">
        <f>""</f>
        <v/>
      </c>
      <c r="D3320" t="str">
        <f>"9783111702506"</f>
        <v>9783111702506</v>
      </c>
      <c r="E3320" t="s">
        <v>350</v>
      </c>
      <c r="F3320" s="1">
        <v>20180</v>
      </c>
      <c r="G3320" t="s">
        <v>12382</v>
      </c>
      <c r="H3320" t="s">
        <v>1178</v>
      </c>
      <c r="L3320" t="s">
        <v>291</v>
      </c>
      <c r="M3320" t="s">
        <v>12383</v>
      </c>
    </row>
    <row r="3321" spans="1:13" x14ac:dyDescent="0.25">
      <c r="A3321">
        <v>7014869</v>
      </c>
      <c r="B3321" t="s">
        <v>12384</v>
      </c>
      <c r="C3321" t="str">
        <f>""</f>
        <v/>
      </c>
      <c r="D3321" t="str">
        <f>"9783110623758"</f>
        <v>9783110623758</v>
      </c>
      <c r="E3321" t="s">
        <v>350</v>
      </c>
      <c r="F3321" s="1">
        <v>43633</v>
      </c>
      <c r="G3321" t="s">
        <v>12385</v>
      </c>
      <c r="H3321" t="s">
        <v>12386</v>
      </c>
      <c r="L3321" t="s">
        <v>20</v>
      </c>
      <c r="M3321" t="s">
        <v>12387</v>
      </c>
    </row>
    <row r="3322" spans="1:13" x14ac:dyDescent="0.25">
      <c r="A3322">
        <v>7014870</v>
      </c>
      <c r="B3322" t="s">
        <v>12388</v>
      </c>
      <c r="C3322" t="str">
        <f>""</f>
        <v/>
      </c>
      <c r="D3322" t="str">
        <f>"9783110720075"</f>
        <v>9783110720075</v>
      </c>
      <c r="E3322" t="s">
        <v>350</v>
      </c>
      <c r="F3322" s="1">
        <v>41948</v>
      </c>
      <c r="G3322" t="s">
        <v>12389</v>
      </c>
      <c r="H3322" t="s">
        <v>851</v>
      </c>
      <c r="L3322" t="s">
        <v>20</v>
      </c>
      <c r="M3322" t="s">
        <v>12390</v>
      </c>
    </row>
    <row r="3323" spans="1:13" x14ac:dyDescent="0.25">
      <c r="A3323">
        <v>7014871</v>
      </c>
      <c r="B3323" t="s">
        <v>12391</v>
      </c>
      <c r="C3323" t="str">
        <f>"9783110585414"</f>
        <v>9783110585414</v>
      </c>
      <c r="D3323" t="str">
        <f>"9783110585421"</f>
        <v>9783110585421</v>
      </c>
      <c r="E3323" t="s">
        <v>350</v>
      </c>
      <c r="F3323" s="1">
        <v>43451</v>
      </c>
      <c r="G3323" t="s">
        <v>12392</v>
      </c>
      <c r="H3323" t="s">
        <v>3933</v>
      </c>
      <c r="L3323" t="s">
        <v>4340</v>
      </c>
      <c r="M3323" t="s">
        <v>12393</v>
      </c>
    </row>
    <row r="3324" spans="1:13" x14ac:dyDescent="0.25">
      <c r="A3324">
        <v>7014872</v>
      </c>
      <c r="B3324" t="s">
        <v>12394</v>
      </c>
      <c r="C3324" t="str">
        <f>""</f>
        <v/>
      </c>
      <c r="D3324" t="str">
        <f>"9783110622638"</f>
        <v>9783110622638</v>
      </c>
      <c r="E3324" t="s">
        <v>350</v>
      </c>
      <c r="F3324" s="1">
        <v>43494</v>
      </c>
      <c r="G3324" t="s">
        <v>12395</v>
      </c>
      <c r="H3324" t="s">
        <v>851</v>
      </c>
      <c r="L3324" t="s">
        <v>291</v>
      </c>
      <c r="M3324" t="s">
        <v>12396</v>
      </c>
    </row>
    <row r="3325" spans="1:13" x14ac:dyDescent="0.25">
      <c r="A3325">
        <v>7014873</v>
      </c>
      <c r="B3325" t="s">
        <v>12397</v>
      </c>
      <c r="C3325" t="str">
        <f>""</f>
        <v/>
      </c>
      <c r="D3325" t="str">
        <f>"9783110717679"</f>
        <v>9783110717679</v>
      </c>
      <c r="E3325" t="s">
        <v>350</v>
      </c>
      <c r="F3325" s="1">
        <v>44181</v>
      </c>
      <c r="G3325" t="s">
        <v>12398</v>
      </c>
      <c r="H3325" t="s">
        <v>12399</v>
      </c>
      <c r="L3325" t="s">
        <v>291</v>
      </c>
      <c r="M3325" t="s">
        <v>12400</v>
      </c>
    </row>
    <row r="3326" spans="1:13" x14ac:dyDescent="0.25">
      <c r="A3326">
        <v>7014874</v>
      </c>
      <c r="B3326" t="s">
        <v>12401</v>
      </c>
      <c r="C3326" t="str">
        <f>""</f>
        <v/>
      </c>
      <c r="D3326" t="str">
        <f>"9783110720334"</f>
        <v>9783110720334</v>
      </c>
      <c r="E3326" t="s">
        <v>350</v>
      </c>
      <c r="F3326" s="1">
        <v>42919</v>
      </c>
      <c r="G3326" t="s">
        <v>12402</v>
      </c>
      <c r="H3326" t="s">
        <v>851</v>
      </c>
      <c r="L3326" t="s">
        <v>20</v>
      </c>
      <c r="M3326" t="s">
        <v>12403</v>
      </c>
    </row>
    <row r="3327" spans="1:13" x14ac:dyDescent="0.25">
      <c r="A3327">
        <v>7014875</v>
      </c>
      <c r="B3327" t="s">
        <v>12404</v>
      </c>
      <c r="C3327" t="str">
        <f>""</f>
        <v/>
      </c>
      <c r="D3327" t="str">
        <f>"9783111347417"</f>
        <v>9783111347417</v>
      </c>
      <c r="E3327" t="s">
        <v>350</v>
      </c>
      <c r="F3327" s="1">
        <v>27120</v>
      </c>
      <c r="G3327" t="s">
        <v>12405</v>
      </c>
      <c r="H3327" t="s">
        <v>239</v>
      </c>
      <c r="L3327" t="s">
        <v>291</v>
      </c>
      <c r="M3327" t="s">
        <v>12406</v>
      </c>
    </row>
    <row r="3328" spans="1:13" x14ac:dyDescent="0.25">
      <c r="A3328">
        <v>7014876</v>
      </c>
      <c r="B3328" t="s">
        <v>12407</v>
      </c>
      <c r="C3328" t="str">
        <f>""</f>
        <v/>
      </c>
      <c r="D3328" t="str">
        <f>"9783110713305"</f>
        <v>9783110713305</v>
      </c>
      <c r="E3328" t="s">
        <v>350</v>
      </c>
      <c r="F3328" s="1">
        <v>44214</v>
      </c>
      <c r="G3328" t="s">
        <v>12408</v>
      </c>
      <c r="H3328" t="s">
        <v>3047</v>
      </c>
      <c r="L3328" t="s">
        <v>20</v>
      </c>
      <c r="M3328" t="s">
        <v>12409</v>
      </c>
    </row>
    <row r="3329" spans="1:13" x14ac:dyDescent="0.25">
      <c r="A3329">
        <v>7014877</v>
      </c>
      <c r="B3329" t="s">
        <v>12410</v>
      </c>
      <c r="C3329" t="str">
        <f>""</f>
        <v/>
      </c>
      <c r="D3329" t="str">
        <f>"9783110713367"</f>
        <v>9783110713367</v>
      </c>
      <c r="E3329" t="s">
        <v>350</v>
      </c>
      <c r="F3329" s="1">
        <v>44368</v>
      </c>
      <c r="G3329" t="s">
        <v>7812</v>
      </c>
      <c r="H3329" t="s">
        <v>288</v>
      </c>
      <c r="L3329" t="s">
        <v>20</v>
      </c>
      <c r="M3329" t="s">
        <v>12411</v>
      </c>
    </row>
    <row r="3330" spans="1:13" x14ac:dyDescent="0.25">
      <c r="A3330">
        <v>7014878</v>
      </c>
      <c r="B3330" t="s">
        <v>12412</v>
      </c>
      <c r="C3330" t="str">
        <f>""</f>
        <v/>
      </c>
      <c r="D3330" t="str">
        <f>"9783110720327"</f>
        <v>9783110720327</v>
      </c>
      <c r="E3330" t="s">
        <v>350</v>
      </c>
      <c r="F3330" s="1">
        <v>42800</v>
      </c>
      <c r="G3330" t="s">
        <v>12413</v>
      </c>
      <c r="H3330" t="s">
        <v>851</v>
      </c>
      <c r="L3330" t="s">
        <v>20</v>
      </c>
      <c r="M3330" t="s">
        <v>12414</v>
      </c>
    </row>
    <row r="3331" spans="1:13" x14ac:dyDescent="0.25">
      <c r="A3331">
        <v>7014879</v>
      </c>
      <c r="B3331" t="s">
        <v>12415</v>
      </c>
      <c r="C3331" t="str">
        <f>""</f>
        <v/>
      </c>
      <c r="D3331" t="str">
        <f>"9783110750560"</f>
        <v>9783110750560</v>
      </c>
      <c r="E3331" t="s">
        <v>350</v>
      </c>
      <c r="F3331" s="1">
        <v>44522</v>
      </c>
      <c r="G3331" t="s">
        <v>12416</v>
      </c>
      <c r="H3331" t="s">
        <v>310</v>
      </c>
      <c r="L3331" t="s">
        <v>20</v>
      </c>
      <c r="M3331" t="s">
        <v>12417</v>
      </c>
    </row>
    <row r="3332" spans="1:13" x14ac:dyDescent="0.25">
      <c r="A3332">
        <v>7014880</v>
      </c>
      <c r="B3332" t="s">
        <v>12418</v>
      </c>
      <c r="C3332" t="str">
        <f>""</f>
        <v/>
      </c>
      <c r="D3332" t="str">
        <f>"9783110687040"</f>
        <v>9783110687040</v>
      </c>
      <c r="E3332" t="s">
        <v>350</v>
      </c>
      <c r="F3332" s="1">
        <v>44095</v>
      </c>
      <c r="G3332" t="s">
        <v>12419</v>
      </c>
      <c r="H3332" t="s">
        <v>139</v>
      </c>
      <c r="L3332" t="s">
        <v>291</v>
      </c>
      <c r="M3332" t="s">
        <v>12420</v>
      </c>
    </row>
    <row r="3333" spans="1:13" x14ac:dyDescent="0.25">
      <c r="A3333">
        <v>7014881</v>
      </c>
      <c r="B3333" t="s">
        <v>12421</v>
      </c>
      <c r="C3333" t="str">
        <f>""</f>
        <v/>
      </c>
      <c r="D3333" t="str">
        <f>"9783110702231"</f>
        <v>9783110702231</v>
      </c>
      <c r="E3333" t="s">
        <v>350</v>
      </c>
      <c r="F3333" s="1">
        <v>44214</v>
      </c>
      <c r="G3333" t="s">
        <v>12422</v>
      </c>
      <c r="H3333" t="s">
        <v>3107</v>
      </c>
      <c r="L3333" t="s">
        <v>1213</v>
      </c>
      <c r="M3333" t="s">
        <v>12423</v>
      </c>
    </row>
    <row r="3334" spans="1:13" x14ac:dyDescent="0.25">
      <c r="A3334">
        <v>7014882</v>
      </c>
      <c r="B3334" t="s">
        <v>12424</v>
      </c>
      <c r="C3334" t="str">
        <f>""</f>
        <v/>
      </c>
      <c r="D3334" t="str">
        <f>"9783110707168"</f>
        <v>9783110707168</v>
      </c>
      <c r="E3334" t="s">
        <v>350</v>
      </c>
      <c r="F3334" s="1">
        <v>44172</v>
      </c>
      <c r="G3334" t="s">
        <v>12425</v>
      </c>
      <c r="H3334" t="s">
        <v>851</v>
      </c>
      <c r="L3334" t="s">
        <v>291</v>
      </c>
      <c r="M3334" t="s">
        <v>12426</v>
      </c>
    </row>
    <row r="3335" spans="1:13" x14ac:dyDescent="0.25">
      <c r="A3335">
        <v>7014883</v>
      </c>
      <c r="B3335" t="s">
        <v>12427</v>
      </c>
      <c r="C3335" t="str">
        <f>"9783110472929"</f>
        <v>9783110472929</v>
      </c>
      <c r="D3335" t="str">
        <f>"9783110529173"</f>
        <v>9783110529173</v>
      </c>
      <c r="E3335" t="s">
        <v>350</v>
      </c>
      <c r="F3335" s="1">
        <v>44249</v>
      </c>
      <c r="G3335" t="s">
        <v>12428</v>
      </c>
      <c r="H3335" t="s">
        <v>310</v>
      </c>
      <c r="L3335" t="s">
        <v>20</v>
      </c>
      <c r="M3335" t="s">
        <v>12429</v>
      </c>
    </row>
    <row r="3336" spans="1:13" x14ac:dyDescent="0.25">
      <c r="A3336">
        <v>7014884</v>
      </c>
      <c r="B3336" t="s">
        <v>12430</v>
      </c>
      <c r="C3336" t="str">
        <f>""</f>
        <v/>
      </c>
      <c r="D3336" t="str">
        <f>"9783110718270"</f>
        <v>9783110718270</v>
      </c>
      <c r="E3336" t="s">
        <v>350</v>
      </c>
      <c r="F3336" s="1">
        <v>44396</v>
      </c>
      <c r="G3336" t="s">
        <v>12431</v>
      </c>
      <c r="H3336" t="s">
        <v>139</v>
      </c>
      <c r="L3336" t="s">
        <v>291</v>
      </c>
      <c r="M3336" t="s">
        <v>12432</v>
      </c>
    </row>
    <row r="3337" spans="1:13" x14ac:dyDescent="0.25">
      <c r="A3337">
        <v>7014885</v>
      </c>
      <c r="B3337" t="s">
        <v>12433</v>
      </c>
      <c r="C3337" t="str">
        <f>""</f>
        <v/>
      </c>
      <c r="D3337" t="str">
        <f>"9783111661483"</f>
        <v>9783111661483</v>
      </c>
      <c r="E3337" t="s">
        <v>350</v>
      </c>
      <c r="F3337" s="1">
        <v>18354</v>
      </c>
      <c r="G3337" t="s">
        <v>12434</v>
      </c>
      <c r="H3337" t="s">
        <v>12435</v>
      </c>
      <c r="L3337" t="s">
        <v>291</v>
      </c>
      <c r="M3337" t="s">
        <v>12436</v>
      </c>
    </row>
    <row r="3338" spans="1:13" x14ac:dyDescent="0.25">
      <c r="A3338">
        <v>7014886</v>
      </c>
      <c r="B3338" t="s">
        <v>12437</v>
      </c>
      <c r="C3338" t="str">
        <f>""</f>
        <v/>
      </c>
      <c r="D3338" t="str">
        <f>"9783110708479"</f>
        <v>9783110708479</v>
      </c>
      <c r="E3338" t="s">
        <v>350</v>
      </c>
      <c r="F3338" s="1">
        <v>44116</v>
      </c>
      <c r="G3338" t="s">
        <v>12438</v>
      </c>
      <c r="H3338" t="s">
        <v>851</v>
      </c>
      <c r="L3338" t="s">
        <v>291</v>
      </c>
      <c r="M3338" t="s">
        <v>12439</v>
      </c>
    </row>
    <row r="3339" spans="1:13" x14ac:dyDescent="0.25">
      <c r="A3339">
        <v>7014887</v>
      </c>
      <c r="B3339" t="s">
        <v>12440</v>
      </c>
      <c r="C3339" t="str">
        <f>""</f>
        <v/>
      </c>
      <c r="D3339" t="str">
        <f>"9783110622690"</f>
        <v>9783110622690</v>
      </c>
      <c r="E3339" t="s">
        <v>350</v>
      </c>
      <c r="F3339" s="1">
        <v>43494</v>
      </c>
      <c r="G3339" t="s">
        <v>12441</v>
      </c>
      <c r="H3339" t="s">
        <v>851</v>
      </c>
      <c r="L3339" t="s">
        <v>291</v>
      </c>
      <c r="M3339" t="s">
        <v>12442</v>
      </c>
    </row>
    <row r="3340" spans="1:13" x14ac:dyDescent="0.25">
      <c r="A3340">
        <v>7014888</v>
      </c>
      <c r="B3340" t="s">
        <v>12443</v>
      </c>
      <c r="C3340" t="str">
        <f>""</f>
        <v/>
      </c>
      <c r="D3340" t="str">
        <f>"9783110716559"</f>
        <v>9783110716559</v>
      </c>
      <c r="E3340" t="s">
        <v>350</v>
      </c>
      <c r="F3340" s="1">
        <v>44536</v>
      </c>
      <c r="G3340" t="s">
        <v>12444</v>
      </c>
      <c r="H3340" t="s">
        <v>70</v>
      </c>
      <c r="J3340">
        <v>882.01089999999999</v>
      </c>
      <c r="L3340" t="s">
        <v>20</v>
      </c>
      <c r="M3340" t="s">
        <v>12445</v>
      </c>
    </row>
    <row r="3341" spans="1:13" x14ac:dyDescent="0.25">
      <c r="A3341">
        <v>7014889</v>
      </c>
      <c r="B3341" t="s">
        <v>12446</v>
      </c>
      <c r="C3341" t="str">
        <f>""</f>
        <v/>
      </c>
      <c r="D3341" t="str">
        <f>"9783110722093"</f>
        <v>9783110722093</v>
      </c>
      <c r="E3341" t="s">
        <v>350</v>
      </c>
      <c r="F3341" s="1">
        <v>44473</v>
      </c>
      <c r="G3341" t="s">
        <v>12447</v>
      </c>
      <c r="H3341" t="s">
        <v>70</v>
      </c>
      <c r="L3341" t="s">
        <v>20</v>
      </c>
      <c r="M3341" t="s">
        <v>12448</v>
      </c>
    </row>
    <row r="3342" spans="1:13" x14ac:dyDescent="0.25">
      <c r="A3342">
        <v>7014890</v>
      </c>
      <c r="B3342" t="s">
        <v>12449</v>
      </c>
      <c r="C3342" t="str">
        <f>""</f>
        <v/>
      </c>
      <c r="D3342" t="str">
        <f>"9783110671964"</f>
        <v>9783110671964</v>
      </c>
      <c r="E3342" t="s">
        <v>350</v>
      </c>
      <c r="F3342" s="1">
        <v>44326</v>
      </c>
      <c r="G3342" t="s">
        <v>4364</v>
      </c>
      <c r="H3342" t="s">
        <v>64</v>
      </c>
      <c r="J3342" t="s">
        <v>12450</v>
      </c>
      <c r="L3342" t="s">
        <v>20</v>
      </c>
      <c r="M3342" t="s">
        <v>12451</v>
      </c>
    </row>
    <row r="3343" spans="1:13" x14ac:dyDescent="0.25">
      <c r="A3343">
        <v>7014891</v>
      </c>
      <c r="B3343" t="s">
        <v>12452</v>
      </c>
      <c r="C3343" t="str">
        <f>""</f>
        <v/>
      </c>
      <c r="D3343" t="str">
        <f>"9783486754346"</f>
        <v>9783486754346</v>
      </c>
      <c r="E3343" t="s">
        <v>350</v>
      </c>
      <c r="F3343" s="1">
        <v>9863</v>
      </c>
      <c r="G3343" t="s">
        <v>12453</v>
      </c>
      <c r="H3343" t="s">
        <v>70</v>
      </c>
      <c r="L3343" t="s">
        <v>291</v>
      </c>
      <c r="M3343" t="s">
        <v>12454</v>
      </c>
    </row>
    <row r="3344" spans="1:13" x14ac:dyDescent="0.25">
      <c r="A3344">
        <v>7014892</v>
      </c>
      <c r="B3344" t="s">
        <v>12455</v>
      </c>
      <c r="C3344" t="str">
        <f>""</f>
        <v/>
      </c>
      <c r="D3344" t="str">
        <f>"9783110748833"</f>
        <v>9783110748833</v>
      </c>
      <c r="E3344" t="s">
        <v>350</v>
      </c>
      <c r="F3344" s="1">
        <v>44431</v>
      </c>
      <c r="G3344" t="s">
        <v>12456</v>
      </c>
      <c r="H3344" t="s">
        <v>64</v>
      </c>
      <c r="J3344" t="s">
        <v>12457</v>
      </c>
      <c r="L3344" t="s">
        <v>20</v>
      </c>
      <c r="M3344" t="s">
        <v>12458</v>
      </c>
    </row>
    <row r="3345" spans="1:13" x14ac:dyDescent="0.25">
      <c r="A3345">
        <v>7014893</v>
      </c>
      <c r="B3345" t="s">
        <v>12459</v>
      </c>
      <c r="C3345" t="str">
        <f>""</f>
        <v/>
      </c>
      <c r="D3345" t="str">
        <f>"9783110812848"</f>
        <v>9783110812848</v>
      </c>
      <c r="E3345" t="s">
        <v>270</v>
      </c>
      <c r="F3345" s="1">
        <v>43497</v>
      </c>
      <c r="G3345" t="s">
        <v>12460</v>
      </c>
      <c r="H3345" t="s">
        <v>64</v>
      </c>
      <c r="L3345" t="s">
        <v>1279</v>
      </c>
      <c r="M3345" t="s">
        <v>12461</v>
      </c>
    </row>
    <row r="3346" spans="1:13" x14ac:dyDescent="0.25">
      <c r="A3346">
        <v>7014894</v>
      </c>
      <c r="B3346" t="s">
        <v>12462</v>
      </c>
      <c r="C3346" t="str">
        <f>""</f>
        <v/>
      </c>
      <c r="D3346" t="str">
        <f>"9783110703450"</f>
        <v>9783110703450</v>
      </c>
      <c r="E3346" t="s">
        <v>350</v>
      </c>
      <c r="F3346" s="1">
        <v>44235</v>
      </c>
      <c r="G3346" t="s">
        <v>4351</v>
      </c>
      <c r="H3346" t="s">
        <v>70</v>
      </c>
      <c r="L3346" t="s">
        <v>291</v>
      </c>
      <c r="M3346" t="s">
        <v>12463</v>
      </c>
    </row>
    <row r="3347" spans="1:13" x14ac:dyDescent="0.25">
      <c r="A3347">
        <v>7014895</v>
      </c>
      <c r="B3347" t="s">
        <v>12464</v>
      </c>
      <c r="C3347" t="str">
        <f>""</f>
        <v/>
      </c>
      <c r="D3347" t="str">
        <f>"9783110720426"</f>
        <v>9783110720426</v>
      </c>
      <c r="E3347" t="s">
        <v>350</v>
      </c>
      <c r="F3347" s="1">
        <v>42899</v>
      </c>
      <c r="G3347" t="s">
        <v>12465</v>
      </c>
      <c r="H3347" t="s">
        <v>851</v>
      </c>
      <c r="L3347" t="s">
        <v>20</v>
      </c>
      <c r="M3347" t="s">
        <v>12466</v>
      </c>
    </row>
    <row r="3348" spans="1:13" x14ac:dyDescent="0.25">
      <c r="A3348">
        <v>7014896</v>
      </c>
      <c r="B3348" t="s">
        <v>12467</v>
      </c>
      <c r="C3348" t="str">
        <f>""</f>
        <v/>
      </c>
      <c r="D3348" t="str">
        <f>"9783110622669"</f>
        <v>9783110622669</v>
      </c>
      <c r="E3348" t="s">
        <v>350</v>
      </c>
      <c r="F3348" s="1">
        <v>43494</v>
      </c>
      <c r="G3348" t="s">
        <v>12441</v>
      </c>
      <c r="H3348" t="s">
        <v>851</v>
      </c>
      <c r="L3348" t="s">
        <v>291</v>
      </c>
      <c r="M3348" t="s">
        <v>12468</v>
      </c>
    </row>
    <row r="3349" spans="1:13" x14ac:dyDescent="0.25">
      <c r="A3349">
        <v>7014897</v>
      </c>
      <c r="B3349" t="s">
        <v>12469</v>
      </c>
      <c r="C3349" t="str">
        <f>"9783110610574"</f>
        <v>9783110610574</v>
      </c>
      <c r="D3349" t="str">
        <f>"9783110610604"</f>
        <v>9783110610604</v>
      </c>
      <c r="E3349" t="s">
        <v>350</v>
      </c>
      <c r="F3349" s="1">
        <v>43250</v>
      </c>
      <c r="G3349" t="s">
        <v>3754</v>
      </c>
      <c r="H3349" t="s">
        <v>10957</v>
      </c>
      <c r="L3349" t="s">
        <v>20</v>
      </c>
      <c r="M3349" t="s">
        <v>12470</v>
      </c>
    </row>
    <row r="3350" spans="1:13" x14ac:dyDescent="0.25">
      <c r="A3350">
        <v>7014898</v>
      </c>
      <c r="B3350" t="s">
        <v>12471</v>
      </c>
      <c r="C3350" t="str">
        <f>""</f>
        <v/>
      </c>
      <c r="D3350" t="str">
        <f>"9783110591415"</f>
        <v>9783110591415</v>
      </c>
      <c r="E3350" t="s">
        <v>350</v>
      </c>
      <c r="F3350" s="1">
        <v>43354</v>
      </c>
      <c r="G3350" t="s">
        <v>12472</v>
      </c>
      <c r="H3350" t="s">
        <v>83</v>
      </c>
      <c r="J3350">
        <v>363.70098999999999</v>
      </c>
      <c r="L3350" t="s">
        <v>20</v>
      </c>
      <c r="M3350" t="s">
        <v>12473</v>
      </c>
    </row>
    <row r="3351" spans="1:13" x14ac:dyDescent="0.25">
      <c r="A3351">
        <v>7014899</v>
      </c>
      <c r="B3351" t="s">
        <v>12474</v>
      </c>
      <c r="C3351" t="str">
        <f>""</f>
        <v/>
      </c>
      <c r="D3351" t="str">
        <f>"9783110712902"</f>
        <v>9783110712902</v>
      </c>
      <c r="E3351" t="s">
        <v>350</v>
      </c>
      <c r="F3351" s="1">
        <v>44181</v>
      </c>
      <c r="G3351" t="s">
        <v>12475</v>
      </c>
      <c r="H3351" t="s">
        <v>662</v>
      </c>
      <c r="L3351" t="s">
        <v>20</v>
      </c>
      <c r="M3351" t="s">
        <v>12476</v>
      </c>
    </row>
    <row r="3352" spans="1:13" x14ac:dyDescent="0.25">
      <c r="A3352">
        <v>7014900</v>
      </c>
      <c r="B3352" t="s">
        <v>12477</v>
      </c>
      <c r="C3352" t="str">
        <f>""</f>
        <v/>
      </c>
      <c r="D3352" t="str">
        <f>"9783110708530"</f>
        <v>9783110708530</v>
      </c>
      <c r="E3352" t="s">
        <v>270</v>
      </c>
      <c r="F3352" s="1">
        <v>44382</v>
      </c>
      <c r="G3352" t="s">
        <v>12478</v>
      </c>
      <c r="H3352" t="s">
        <v>3087</v>
      </c>
      <c r="L3352" t="s">
        <v>20</v>
      </c>
      <c r="M3352" t="s">
        <v>12479</v>
      </c>
    </row>
    <row r="3353" spans="1:13" x14ac:dyDescent="0.25">
      <c r="A3353">
        <v>7014901</v>
      </c>
      <c r="B3353" t="s">
        <v>12480</v>
      </c>
      <c r="C3353" t="str">
        <f>""</f>
        <v/>
      </c>
      <c r="D3353" t="str">
        <f>"9783111326887"</f>
        <v>9783111326887</v>
      </c>
      <c r="E3353" t="s">
        <v>350</v>
      </c>
      <c r="F3353" s="1">
        <v>4475</v>
      </c>
      <c r="G3353" t="s">
        <v>12481</v>
      </c>
      <c r="H3353" t="s">
        <v>310</v>
      </c>
      <c r="L3353" t="s">
        <v>291</v>
      </c>
      <c r="M3353" t="s">
        <v>12482</v>
      </c>
    </row>
    <row r="3354" spans="1:13" x14ac:dyDescent="0.25">
      <c r="A3354">
        <v>7014902</v>
      </c>
      <c r="B3354" t="s">
        <v>12483</v>
      </c>
      <c r="C3354" t="str">
        <f>""</f>
        <v/>
      </c>
      <c r="D3354" t="str">
        <f>"9783110720129"</f>
        <v>9783110720129</v>
      </c>
      <c r="E3354" t="s">
        <v>350</v>
      </c>
      <c r="F3354" s="1">
        <v>42174</v>
      </c>
      <c r="G3354" t="s">
        <v>12484</v>
      </c>
      <c r="H3354" t="s">
        <v>851</v>
      </c>
      <c r="L3354" t="s">
        <v>20</v>
      </c>
      <c r="M3354" t="s">
        <v>12485</v>
      </c>
    </row>
    <row r="3355" spans="1:13" x14ac:dyDescent="0.25">
      <c r="A3355">
        <v>7014903</v>
      </c>
      <c r="B3355" t="s">
        <v>12486</v>
      </c>
      <c r="C3355" t="str">
        <f>""</f>
        <v/>
      </c>
      <c r="D3355" t="str">
        <f>"9783110667516"</f>
        <v>9783110667516</v>
      </c>
      <c r="E3355" t="s">
        <v>350</v>
      </c>
      <c r="F3355" s="1">
        <v>44032</v>
      </c>
      <c r="G3355" t="s">
        <v>12487</v>
      </c>
      <c r="H3355" t="s">
        <v>2978</v>
      </c>
      <c r="L3355" t="s">
        <v>291</v>
      </c>
      <c r="M3355" t="s">
        <v>12488</v>
      </c>
    </row>
    <row r="3356" spans="1:13" x14ac:dyDescent="0.25">
      <c r="A3356">
        <v>7014904</v>
      </c>
      <c r="B3356" t="s">
        <v>12489</v>
      </c>
      <c r="C3356" t="str">
        <f>""</f>
        <v/>
      </c>
      <c r="D3356" t="str">
        <f>"9783111644523"</f>
        <v>9783111644523</v>
      </c>
      <c r="E3356" t="s">
        <v>350</v>
      </c>
      <c r="F3356" t="s">
        <v>12490</v>
      </c>
      <c r="G3356" t="s">
        <v>12491</v>
      </c>
      <c r="H3356" t="s">
        <v>139</v>
      </c>
      <c r="L3356" t="s">
        <v>291</v>
      </c>
      <c r="M3356" t="s">
        <v>12492</v>
      </c>
    </row>
    <row r="3357" spans="1:13" x14ac:dyDescent="0.25">
      <c r="A3357">
        <v>7014905</v>
      </c>
      <c r="B3357" t="s">
        <v>12493</v>
      </c>
      <c r="C3357" t="str">
        <f>""</f>
        <v/>
      </c>
      <c r="D3357" t="str">
        <f>"9783111704623"</f>
        <v>9783111704623</v>
      </c>
      <c r="E3357" t="s">
        <v>350</v>
      </c>
      <c r="F3357" s="1">
        <v>19450</v>
      </c>
      <c r="G3357" t="s">
        <v>12494</v>
      </c>
      <c r="H3357" t="s">
        <v>266</v>
      </c>
      <c r="L3357" t="s">
        <v>291</v>
      </c>
      <c r="M3357" t="s">
        <v>12495</v>
      </c>
    </row>
    <row r="3358" spans="1:13" x14ac:dyDescent="0.25">
      <c r="A3358">
        <v>7014906</v>
      </c>
      <c r="B3358" t="s">
        <v>12496</v>
      </c>
      <c r="C3358" t="str">
        <f>"9783111193830"</f>
        <v>9783111193830</v>
      </c>
      <c r="D3358" t="str">
        <f>"9783111565163"</f>
        <v>9783111565163</v>
      </c>
      <c r="E3358" t="s">
        <v>350</v>
      </c>
      <c r="F3358" t="s">
        <v>12497</v>
      </c>
      <c r="G3358" t="s">
        <v>12498</v>
      </c>
      <c r="H3358" t="s">
        <v>272</v>
      </c>
      <c r="L3358" t="s">
        <v>291</v>
      </c>
      <c r="M3358" t="s">
        <v>12499</v>
      </c>
    </row>
    <row r="3359" spans="1:13" x14ac:dyDescent="0.25">
      <c r="A3359">
        <v>7014907</v>
      </c>
      <c r="B3359" t="s">
        <v>12500</v>
      </c>
      <c r="C3359" t="str">
        <f>""</f>
        <v/>
      </c>
      <c r="D3359" t="str">
        <f>"9783110642056"</f>
        <v>9783110642056</v>
      </c>
      <c r="E3359" t="s">
        <v>350</v>
      </c>
      <c r="F3359" s="1">
        <v>44214</v>
      </c>
      <c r="G3359" t="s">
        <v>12501</v>
      </c>
      <c r="H3359" t="s">
        <v>70</v>
      </c>
      <c r="L3359" t="s">
        <v>20</v>
      </c>
      <c r="M3359" t="s">
        <v>12502</v>
      </c>
    </row>
    <row r="3360" spans="1:13" x14ac:dyDescent="0.25">
      <c r="A3360">
        <v>7014908</v>
      </c>
      <c r="B3360" t="s">
        <v>12503</v>
      </c>
      <c r="C3360" t="str">
        <f>""</f>
        <v/>
      </c>
      <c r="D3360" t="str">
        <f>"9783110639544"</f>
        <v>9783110639544</v>
      </c>
      <c r="E3360" t="s">
        <v>350</v>
      </c>
      <c r="F3360" s="1">
        <v>44081</v>
      </c>
      <c r="G3360" t="s">
        <v>12504</v>
      </c>
      <c r="H3360" t="s">
        <v>139</v>
      </c>
      <c r="J3360">
        <v>943.08309199999997</v>
      </c>
      <c r="L3360" t="s">
        <v>20</v>
      </c>
      <c r="M3360" t="s">
        <v>12505</v>
      </c>
    </row>
    <row r="3361" spans="1:13" x14ac:dyDescent="0.25">
      <c r="A3361">
        <v>7014909</v>
      </c>
      <c r="B3361" t="s">
        <v>12506</v>
      </c>
      <c r="C3361" t="str">
        <f>""</f>
        <v/>
      </c>
      <c r="D3361" t="str">
        <f>"9783110624625"</f>
        <v>9783110624625</v>
      </c>
      <c r="E3361" t="s">
        <v>350</v>
      </c>
      <c r="F3361" s="1">
        <v>44459</v>
      </c>
      <c r="G3361" t="s">
        <v>12507</v>
      </c>
      <c r="H3361" t="s">
        <v>310</v>
      </c>
      <c r="J3361" t="s">
        <v>12508</v>
      </c>
      <c r="L3361" t="s">
        <v>20</v>
      </c>
      <c r="M3361" t="s">
        <v>12509</v>
      </c>
    </row>
    <row r="3362" spans="1:13" x14ac:dyDescent="0.25">
      <c r="A3362">
        <v>7014910</v>
      </c>
      <c r="B3362" t="s">
        <v>12510</v>
      </c>
      <c r="C3362" t="str">
        <f>""</f>
        <v/>
      </c>
      <c r="D3362" t="str">
        <f>"9783111422367"</f>
        <v>9783111422367</v>
      </c>
      <c r="E3362" t="s">
        <v>350</v>
      </c>
      <c r="F3362" s="1">
        <v>822</v>
      </c>
      <c r="G3362" t="s">
        <v>12511</v>
      </c>
      <c r="H3362" t="s">
        <v>12512</v>
      </c>
      <c r="L3362" t="s">
        <v>291</v>
      </c>
      <c r="M3362" t="s">
        <v>12513</v>
      </c>
    </row>
    <row r="3363" spans="1:13" x14ac:dyDescent="0.25">
      <c r="A3363">
        <v>7014911</v>
      </c>
      <c r="B3363" t="s">
        <v>12514</v>
      </c>
      <c r="C3363" t="str">
        <f>"9783110575613"</f>
        <v>9783110575613</v>
      </c>
      <c r="D3363" t="str">
        <f>"9783110576191"</f>
        <v>9783110576191</v>
      </c>
      <c r="E3363" t="s">
        <v>350</v>
      </c>
      <c r="F3363" s="1">
        <v>43409</v>
      </c>
      <c r="G3363" t="s">
        <v>3741</v>
      </c>
      <c r="H3363" t="s">
        <v>12515</v>
      </c>
      <c r="L3363" t="s">
        <v>20</v>
      </c>
      <c r="M3363" t="s">
        <v>12516</v>
      </c>
    </row>
    <row r="3364" spans="1:13" x14ac:dyDescent="0.25">
      <c r="A3364">
        <v>7014912</v>
      </c>
      <c r="B3364" t="s">
        <v>12517</v>
      </c>
      <c r="C3364" t="str">
        <f>""</f>
        <v/>
      </c>
      <c r="D3364" t="str">
        <f>"9783110731569"</f>
        <v>9783110731569</v>
      </c>
      <c r="E3364" t="s">
        <v>350</v>
      </c>
      <c r="F3364" s="1">
        <v>44473</v>
      </c>
      <c r="G3364" t="s">
        <v>12518</v>
      </c>
      <c r="H3364" t="s">
        <v>70</v>
      </c>
      <c r="L3364" t="s">
        <v>291</v>
      </c>
      <c r="M3364" t="s">
        <v>12519</v>
      </c>
    </row>
    <row r="3365" spans="1:13" x14ac:dyDescent="0.25">
      <c r="A3365">
        <v>7014913</v>
      </c>
      <c r="B3365" t="s">
        <v>12520</v>
      </c>
      <c r="C3365" t="str">
        <f>""</f>
        <v/>
      </c>
      <c r="D3365" t="str">
        <f>"9783110674255"</f>
        <v>9783110674255</v>
      </c>
      <c r="E3365" t="s">
        <v>350</v>
      </c>
      <c r="F3365" s="1">
        <v>43956</v>
      </c>
      <c r="G3365" t="s">
        <v>12521</v>
      </c>
      <c r="H3365" t="s">
        <v>70</v>
      </c>
      <c r="L3365" t="s">
        <v>291</v>
      </c>
      <c r="M3365" t="s">
        <v>12522</v>
      </c>
    </row>
    <row r="3366" spans="1:13" x14ac:dyDescent="0.25">
      <c r="A3366">
        <v>7014914</v>
      </c>
      <c r="B3366" t="s">
        <v>12523</v>
      </c>
      <c r="C3366" t="str">
        <f>""</f>
        <v/>
      </c>
      <c r="D3366" t="str">
        <f>"9783110694772"</f>
        <v>9783110694772</v>
      </c>
      <c r="E3366" t="s">
        <v>350</v>
      </c>
      <c r="F3366" s="1">
        <v>44158</v>
      </c>
      <c r="G3366" t="s">
        <v>8065</v>
      </c>
      <c r="H3366" t="s">
        <v>139</v>
      </c>
      <c r="J3366" t="s">
        <v>12524</v>
      </c>
      <c r="L3366" t="s">
        <v>291</v>
      </c>
      <c r="M3366" t="s">
        <v>12525</v>
      </c>
    </row>
    <row r="3367" spans="1:13" x14ac:dyDescent="0.25">
      <c r="A3367">
        <v>7014915</v>
      </c>
      <c r="B3367" t="s">
        <v>12526</v>
      </c>
      <c r="C3367" t="str">
        <f>""</f>
        <v/>
      </c>
      <c r="D3367" t="str">
        <f>"9783111493022"</f>
        <v>9783111493022</v>
      </c>
      <c r="E3367" t="s">
        <v>350</v>
      </c>
      <c r="F3367" s="1">
        <v>18719</v>
      </c>
      <c r="G3367" t="s">
        <v>12527</v>
      </c>
      <c r="H3367" t="s">
        <v>12528</v>
      </c>
      <c r="L3367" t="s">
        <v>291</v>
      </c>
      <c r="M3367" t="s">
        <v>12529</v>
      </c>
    </row>
    <row r="3368" spans="1:13" x14ac:dyDescent="0.25">
      <c r="A3368">
        <v>7014916</v>
      </c>
      <c r="B3368" t="s">
        <v>12530</v>
      </c>
      <c r="C3368" t="str">
        <f>""</f>
        <v/>
      </c>
      <c r="D3368" t="str">
        <f>"9783110733495"</f>
        <v>9783110733495</v>
      </c>
      <c r="E3368" t="s">
        <v>350</v>
      </c>
      <c r="F3368" s="1">
        <v>44431</v>
      </c>
      <c r="G3368" t="s">
        <v>12531</v>
      </c>
      <c r="H3368" t="s">
        <v>70</v>
      </c>
      <c r="L3368" t="s">
        <v>291</v>
      </c>
      <c r="M3368" t="s">
        <v>12532</v>
      </c>
    </row>
    <row r="3369" spans="1:13" x14ac:dyDescent="0.25">
      <c r="A3369">
        <v>7014917</v>
      </c>
      <c r="B3369" t="s">
        <v>12533</v>
      </c>
      <c r="C3369" t="str">
        <f>""</f>
        <v/>
      </c>
      <c r="D3369" t="str">
        <f>"9783110755657"</f>
        <v>9783110755657</v>
      </c>
      <c r="E3369" t="s">
        <v>270</v>
      </c>
      <c r="F3369" s="1">
        <v>44508</v>
      </c>
      <c r="G3369" t="s">
        <v>12534</v>
      </c>
      <c r="H3369" t="s">
        <v>851</v>
      </c>
      <c r="L3369" t="s">
        <v>20</v>
      </c>
      <c r="M3369" t="s">
        <v>12535</v>
      </c>
    </row>
    <row r="3370" spans="1:13" x14ac:dyDescent="0.25">
      <c r="A3370">
        <v>7014918</v>
      </c>
      <c r="B3370" t="s">
        <v>12536</v>
      </c>
      <c r="C3370" t="str">
        <f>""</f>
        <v/>
      </c>
      <c r="D3370" t="str">
        <f>"9783110702705"</f>
        <v>9783110702705</v>
      </c>
      <c r="E3370" t="s">
        <v>350</v>
      </c>
      <c r="F3370" s="1">
        <v>44130</v>
      </c>
      <c r="G3370" t="s">
        <v>12537</v>
      </c>
      <c r="H3370" t="s">
        <v>1137</v>
      </c>
      <c r="L3370" t="s">
        <v>291</v>
      </c>
      <c r="M3370" t="s">
        <v>12538</v>
      </c>
    </row>
    <row r="3371" spans="1:13" x14ac:dyDescent="0.25">
      <c r="A3371">
        <v>7014919</v>
      </c>
      <c r="B3371" t="s">
        <v>12539</v>
      </c>
      <c r="C3371" t="str">
        <f>""</f>
        <v/>
      </c>
      <c r="D3371" t="str">
        <f>"9783110630503"</f>
        <v>9783110630503</v>
      </c>
      <c r="E3371" t="s">
        <v>350</v>
      </c>
      <c r="F3371" s="1">
        <v>43990</v>
      </c>
      <c r="G3371" t="s">
        <v>12540</v>
      </c>
      <c r="H3371" t="s">
        <v>101</v>
      </c>
      <c r="L3371" t="s">
        <v>291</v>
      </c>
      <c r="M3371" t="s">
        <v>12541</v>
      </c>
    </row>
    <row r="3372" spans="1:13" x14ac:dyDescent="0.25">
      <c r="A3372">
        <v>7014920</v>
      </c>
      <c r="B3372" t="s">
        <v>12542</v>
      </c>
      <c r="C3372" t="str">
        <f>""</f>
        <v/>
      </c>
      <c r="D3372" t="str">
        <f>"9783110720099"</f>
        <v>9783110720099</v>
      </c>
      <c r="E3372" t="s">
        <v>350</v>
      </c>
      <c r="F3372" s="1">
        <v>41904</v>
      </c>
      <c r="G3372" t="s">
        <v>12215</v>
      </c>
      <c r="H3372" t="s">
        <v>139</v>
      </c>
      <c r="L3372" t="s">
        <v>291</v>
      </c>
      <c r="M3372" t="s">
        <v>12543</v>
      </c>
    </row>
    <row r="3373" spans="1:13" x14ac:dyDescent="0.25">
      <c r="A3373">
        <v>7014921</v>
      </c>
      <c r="B3373" t="s">
        <v>12544</v>
      </c>
      <c r="C3373" t="str">
        <f>"9783110602296"</f>
        <v>9783110602296</v>
      </c>
      <c r="D3373" t="str">
        <f>"9783110602289"</f>
        <v>9783110602289</v>
      </c>
      <c r="E3373" t="s">
        <v>350</v>
      </c>
      <c r="F3373" s="1">
        <v>43381</v>
      </c>
      <c r="G3373" t="s">
        <v>12545</v>
      </c>
      <c r="H3373" t="s">
        <v>2569</v>
      </c>
      <c r="J3373">
        <v>531</v>
      </c>
      <c r="L3373" t="s">
        <v>291</v>
      </c>
      <c r="M3373" t="s">
        <v>12546</v>
      </c>
    </row>
    <row r="3374" spans="1:13" x14ac:dyDescent="0.25">
      <c r="A3374">
        <v>7014922</v>
      </c>
      <c r="B3374" t="s">
        <v>12547</v>
      </c>
      <c r="C3374" t="str">
        <f>""</f>
        <v/>
      </c>
      <c r="D3374" t="str">
        <f>"9783110679977"</f>
        <v>9783110679977</v>
      </c>
      <c r="E3374" t="s">
        <v>350</v>
      </c>
      <c r="F3374" s="1">
        <v>44038</v>
      </c>
      <c r="G3374" t="s">
        <v>12548</v>
      </c>
      <c r="H3374" t="s">
        <v>4451</v>
      </c>
      <c r="L3374" t="s">
        <v>20</v>
      </c>
      <c r="M3374" t="s">
        <v>12549</v>
      </c>
    </row>
    <row r="3375" spans="1:13" x14ac:dyDescent="0.25">
      <c r="A3375">
        <v>7014923</v>
      </c>
      <c r="B3375" t="s">
        <v>12550</v>
      </c>
      <c r="C3375" t="str">
        <f>""</f>
        <v/>
      </c>
      <c r="D3375" t="str">
        <f>"9783110725780"</f>
        <v>9783110725780</v>
      </c>
      <c r="E3375" t="s">
        <v>350</v>
      </c>
      <c r="F3375" s="1">
        <v>44263</v>
      </c>
      <c r="G3375" t="s">
        <v>12551</v>
      </c>
      <c r="H3375" t="s">
        <v>288</v>
      </c>
      <c r="L3375" t="s">
        <v>291</v>
      </c>
      <c r="M3375" t="s">
        <v>12552</v>
      </c>
    </row>
    <row r="3376" spans="1:13" x14ac:dyDescent="0.25">
      <c r="A3376">
        <v>7014924</v>
      </c>
      <c r="B3376" t="s">
        <v>12553</v>
      </c>
      <c r="C3376" t="str">
        <f>""</f>
        <v/>
      </c>
      <c r="D3376" t="str">
        <f>"9783110622430"</f>
        <v>9783110622430</v>
      </c>
      <c r="E3376" t="s">
        <v>350</v>
      </c>
      <c r="F3376" s="1">
        <v>43494</v>
      </c>
      <c r="G3376" t="s">
        <v>12554</v>
      </c>
      <c r="H3376" t="s">
        <v>851</v>
      </c>
      <c r="L3376" t="s">
        <v>291</v>
      </c>
      <c r="M3376" t="s">
        <v>12555</v>
      </c>
    </row>
    <row r="3377" spans="1:13" x14ac:dyDescent="0.25">
      <c r="A3377">
        <v>7014925</v>
      </c>
      <c r="B3377" t="s">
        <v>12556</v>
      </c>
      <c r="C3377" t="str">
        <f>""</f>
        <v/>
      </c>
      <c r="D3377" t="str">
        <f>"9783111719962"</f>
        <v>9783111719962</v>
      </c>
      <c r="E3377" t="s">
        <v>350</v>
      </c>
      <c r="F3377" t="s">
        <v>12557</v>
      </c>
      <c r="G3377" t="s">
        <v>12558</v>
      </c>
      <c r="H3377" t="s">
        <v>139</v>
      </c>
      <c r="L3377" t="s">
        <v>291</v>
      </c>
      <c r="M3377" t="s">
        <v>12559</v>
      </c>
    </row>
    <row r="3378" spans="1:13" x14ac:dyDescent="0.25">
      <c r="A3378">
        <v>7014926</v>
      </c>
      <c r="B3378" t="s">
        <v>12560</v>
      </c>
      <c r="C3378" t="str">
        <f>""</f>
        <v/>
      </c>
      <c r="D3378" t="str">
        <f>"9783110749984"</f>
        <v>9783110749984</v>
      </c>
      <c r="E3378" t="s">
        <v>350</v>
      </c>
      <c r="F3378" s="1">
        <v>44508</v>
      </c>
      <c r="G3378" t="s">
        <v>12561</v>
      </c>
      <c r="H3378" t="s">
        <v>70</v>
      </c>
      <c r="L3378" t="s">
        <v>4340</v>
      </c>
      <c r="M3378" t="s">
        <v>12562</v>
      </c>
    </row>
    <row r="3379" spans="1:13" x14ac:dyDescent="0.25">
      <c r="A3379">
        <v>7014927</v>
      </c>
      <c r="B3379" t="s">
        <v>12563</v>
      </c>
      <c r="C3379" t="str">
        <f>"9783486565652"</f>
        <v>9783486565652</v>
      </c>
      <c r="D3379" t="str">
        <f>"9783486594478"</f>
        <v>9783486594478</v>
      </c>
      <c r="E3379" t="s">
        <v>350</v>
      </c>
      <c r="F3379" s="1">
        <v>37181</v>
      </c>
      <c r="G3379" t="s">
        <v>12564</v>
      </c>
      <c r="H3379" t="s">
        <v>139</v>
      </c>
      <c r="L3379" t="s">
        <v>291</v>
      </c>
      <c r="M3379" t="s">
        <v>12565</v>
      </c>
    </row>
    <row r="3380" spans="1:13" x14ac:dyDescent="0.25">
      <c r="A3380">
        <v>7014928</v>
      </c>
      <c r="B3380" t="s">
        <v>3864</v>
      </c>
      <c r="C3380" t="str">
        <f>"9783110605907"</f>
        <v>9783110605907</v>
      </c>
      <c r="D3380" t="str">
        <f>"9783110605914"</f>
        <v>9783110605914</v>
      </c>
      <c r="E3380" t="s">
        <v>350</v>
      </c>
      <c r="F3380" s="1">
        <v>43633</v>
      </c>
      <c r="G3380" t="s">
        <v>3865</v>
      </c>
      <c r="H3380" t="s">
        <v>2368</v>
      </c>
      <c r="J3380">
        <v>330.01519500000001</v>
      </c>
      <c r="L3380" t="s">
        <v>20</v>
      </c>
      <c r="M3380" t="s">
        <v>12566</v>
      </c>
    </row>
    <row r="3381" spans="1:13" x14ac:dyDescent="0.25">
      <c r="A3381">
        <v>7014929</v>
      </c>
      <c r="B3381" t="s">
        <v>12567</v>
      </c>
      <c r="C3381" t="str">
        <f>""</f>
        <v/>
      </c>
      <c r="D3381" t="str">
        <f>"9783110683066"</f>
        <v>9783110683066</v>
      </c>
      <c r="E3381" t="s">
        <v>350</v>
      </c>
      <c r="F3381" s="1">
        <v>44172</v>
      </c>
      <c r="G3381" t="s">
        <v>12568</v>
      </c>
      <c r="H3381" t="s">
        <v>12569</v>
      </c>
      <c r="L3381" t="s">
        <v>291</v>
      </c>
      <c r="M3381" t="s">
        <v>12570</v>
      </c>
    </row>
    <row r="3382" spans="1:13" x14ac:dyDescent="0.25">
      <c r="A3382">
        <v>7014930</v>
      </c>
      <c r="B3382" t="s">
        <v>12571</v>
      </c>
      <c r="C3382" t="str">
        <f>""</f>
        <v/>
      </c>
      <c r="D3382" t="str">
        <f>"9783111342498"</f>
        <v>9783111342498</v>
      </c>
      <c r="E3382" t="s">
        <v>270</v>
      </c>
      <c r="F3382" s="1">
        <v>26024</v>
      </c>
      <c r="G3382" t="s">
        <v>12572</v>
      </c>
      <c r="H3382" t="s">
        <v>1657</v>
      </c>
      <c r="L3382" t="s">
        <v>20</v>
      </c>
      <c r="M3382" t="s">
        <v>12573</v>
      </c>
    </row>
    <row r="3383" spans="1:13" x14ac:dyDescent="0.25">
      <c r="A3383">
        <v>7014931</v>
      </c>
      <c r="B3383" t="s">
        <v>12574</v>
      </c>
      <c r="C3383" t="str">
        <f>""</f>
        <v/>
      </c>
      <c r="D3383" t="str">
        <f>"9783110743005"</f>
        <v>9783110743005</v>
      </c>
      <c r="E3383" t="s">
        <v>350</v>
      </c>
      <c r="F3383" s="1">
        <v>44446</v>
      </c>
      <c r="G3383" t="s">
        <v>12575</v>
      </c>
      <c r="H3383" t="s">
        <v>3047</v>
      </c>
      <c r="L3383" t="s">
        <v>291</v>
      </c>
      <c r="M3383" t="s">
        <v>12576</v>
      </c>
    </row>
    <row r="3384" spans="1:13" x14ac:dyDescent="0.25">
      <c r="A3384">
        <v>7014932</v>
      </c>
      <c r="B3384" t="s">
        <v>12577</v>
      </c>
      <c r="C3384" t="str">
        <f>""</f>
        <v/>
      </c>
      <c r="D3384" t="str">
        <f>"9783111503417"</f>
        <v>9783111503417</v>
      </c>
      <c r="E3384" t="s">
        <v>350</v>
      </c>
      <c r="F3384" s="1">
        <v>18719</v>
      </c>
      <c r="G3384" t="s">
        <v>12578</v>
      </c>
      <c r="H3384" t="s">
        <v>266</v>
      </c>
      <c r="L3384" t="s">
        <v>291</v>
      </c>
      <c r="M3384" t="s">
        <v>12579</v>
      </c>
    </row>
    <row r="3385" spans="1:13" x14ac:dyDescent="0.25">
      <c r="A3385">
        <v>7014933</v>
      </c>
      <c r="B3385" t="s">
        <v>12580</v>
      </c>
      <c r="C3385" t="str">
        <f>""</f>
        <v/>
      </c>
      <c r="D3385" t="str">
        <f>"9783110751451"</f>
        <v>9783110751451</v>
      </c>
      <c r="E3385" t="s">
        <v>350</v>
      </c>
      <c r="F3385" s="1">
        <v>44536</v>
      </c>
      <c r="G3385" t="s">
        <v>12581</v>
      </c>
      <c r="H3385" t="s">
        <v>64</v>
      </c>
      <c r="J3385">
        <v>306.81</v>
      </c>
      <c r="L3385" t="s">
        <v>20</v>
      </c>
      <c r="M3385" t="s">
        <v>12582</v>
      </c>
    </row>
    <row r="3386" spans="1:13" x14ac:dyDescent="0.25">
      <c r="A3386">
        <v>7014934</v>
      </c>
      <c r="B3386" t="s">
        <v>12583</v>
      </c>
      <c r="C3386" t="str">
        <f>"9783484310827"</f>
        <v>9783484310827</v>
      </c>
      <c r="D3386" t="str">
        <f>"9783110920659"</f>
        <v>9783110920659</v>
      </c>
      <c r="E3386" t="s">
        <v>350</v>
      </c>
      <c r="F3386" s="1">
        <v>31778</v>
      </c>
      <c r="G3386" t="s">
        <v>12584</v>
      </c>
      <c r="H3386" t="s">
        <v>851</v>
      </c>
      <c r="J3386" t="s">
        <v>12585</v>
      </c>
      <c r="L3386" t="s">
        <v>291</v>
      </c>
      <c r="M3386" t="s">
        <v>12586</v>
      </c>
    </row>
    <row r="3387" spans="1:13" x14ac:dyDescent="0.25">
      <c r="A3387">
        <v>7014935</v>
      </c>
      <c r="B3387" t="s">
        <v>12587</v>
      </c>
      <c r="C3387" t="str">
        <f>""</f>
        <v/>
      </c>
      <c r="D3387" t="str">
        <f>"9783110622645"</f>
        <v>9783110622645</v>
      </c>
      <c r="E3387" t="s">
        <v>350</v>
      </c>
      <c r="F3387" s="1">
        <v>43494</v>
      </c>
      <c r="G3387" t="s">
        <v>12441</v>
      </c>
      <c r="H3387" t="s">
        <v>851</v>
      </c>
      <c r="L3387" t="s">
        <v>291</v>
      </c>
      <c r="M3387" t="s">
        <v>12588</v>
      </c>
    </row>
    <row r="3388" spans="1:13" x14ac:dyDescent="0.25">
      <c r="A3388">
        <v>7014936</v>
      </c>
      <c r="B3388" t="s">
        <v>12589</v>
      </c>
      <c r="C3388" t="str">
        <f>""</f>
        <v/>
      </c>
      <c r="D3388" t="str">
        <f>"9783110718836"</f>
        <v>9783110718836</v>
      </c>
      <c r="E3388" t="s">
        <v>350</v>
      </c>
      <c r="F3388" s="1">
        <v>39784</v>
      </c>
      <c r="G3388" t="s">
        <v>12590</v>
      </c>
      <c r="H3388" t="s">
        <v>2293</v>
      </c>
      <c r="L3388" t="s">
        <v>291</v>
      </c>
      <c r="M3388" t="s">
        <v>12591</v>
      </c>
    </row>
    <row r="3389" spans="1:13" x14ac:dyDescent="0.25">
      <c r="A3389">
        <v>7014937</v>
      </c>
      <c r="B3389" t="s">
        <v>12592</v>
      </c>
      <c r="C3389" t="str">
        <f>""</f>
        <v/>
      </c>
      <c r="D3389" t="str">
        <f>"9783110715293"</f>
        <v>9783110715293</v>
      </c>
      <c r="E3389" t="s">
        <v>350</v>
      </c>
      <c r="F3389" s="1">
        <v>44172</v>
      </c>
      <c r="G3389" t="s">
        <v>12593</v>
      </c>
      <c r="H3389" t="s">
        <v>246</v>
      </c>
      <c r="L3389" t="s">
        <v>291</v>
      </c>
      <c r="M3389" t="s">
        <v>12594</v>
      </c>
    </row>
    <row r="3390" spans="1:13" x14ac:dyDescent="0.25">
      <c r="A3390">
        <v>7014938</v>
      </c>
      <c r="B3390" t="s">
        <v>12595</v>
      </c>
      <c r="C3390" t="str">
        <f>""</f>
        <v/>
      </c>
      <c r="D3390" t="str">
        <f>"9783110681703"</f>
        <v>9783110681703</v>
      </c>
      <c r="E3390" t="s">
        <v>350</v>
      </c>
      <c r="F3390" s="1">
        <v>44130</v>
      </c>
      <c r="G3390" t="s">
        <v>12596</v>
      </c>
      <c r="H3390" t="s">
        <v>851</v>
      </c>
      <c r="L3390" t="s">
        <v>291</v>
      </c>
      <c r="M3390" t="s">
        <v>12597</v>
      </c>
    </row>
    <row r="3391" spans="1:13" x14ac:dyDescent="0.25">
      <c r="A3391">
        <v>7014939</v>
      </c>
      <c r="B3391" t="s">
        <v>12598</v>
      </c>
      <c r="C3391" t="str">
        <f>""</f>
        <v/>
      </c>
      <c r="D3391" t="str">
        <f>"9783868599800"</f>
        <v>9783868599800</v>
      </c>
      <c r="E3391" t="s">
        <v>12599</v>
      </c>
      <c r="F3391" s="1">
        <v>44473</v>
      </c>
      <c r="G3391" t="s">
        <v>12600</v>
      </c>
      <c r="H3391" t="s">
        <v>12601</v>
      </c>
      <c r="L3391" t="s">
        <v>291</v>
      </c>
      <c r="M3391" t="s">
        <v>12602</v>
      </c>
    </row>
    <row r="3392" spans="1:13" x14ac:dyDescent="0.25">
      <c r="A3392">
        <v>7014940</v>
      </c>
      <c r="B3392" t="s">
        <v>12603</v>
      </c>
      <c r="C3392" t="str">
        <f>""</f>
        <v/>
      </c>
      <c r="D3392" t="str">
        <f>"9783110679663"</f>
        <v>9783110679663</v>
      </c>
      <c r="E3392" t="s">
        <v>350</v>
      </c>
      <c r="F3392" s="1">
        <v>44368</v>
      </c>
      <c r="G3392" t="s">
        <v>12604</v>
      </c>
      <c r="H3392" t="s">
        <v>12605</v>
      </c>
      <c r="L3392" t="s">
        <v>20</v>
      </c>
      <c r="M3392" t="s">
        <v>12606</v>
      </c>
    </row>
    <row r="3393" spans="1:13" x14ac:dyDescent="0.25">
      <c r="A3393">
        <v>7014941</v>
      </c>
      <c r="B3393" t="s">
        <v>12607</v>
      </c>
      <c r="C3393" t="str">
        <f>""</f>
        <v/>
      </c>
      <c r="D3393" t="str">
        <f>"9781501511561"</f>
        <v>9781501511561</v>
      </c>
      <c r="E3393" t="s">
        <v>270</v>
      </c>
      <c r="F3393" s="1">
        <v>44410</v>
      </c>
      <c r="G3393" t="s">
        <v>12608</v>
      </c>
      <c r="H3393" t="s">
        <v>64</v>
      </c>
      <c r="J3393">
        <v>305.7</v>
      </c>
      <c r="L3393" t="s">
        <v>20</v>
      </c>
      <c r="M3393" t="s">
        <v>12609</v>
      </c>
    </row>
    <row r="3394" spans="1:13" x14ac:dyDescent="0.25">
      <c r="A3394">
        <v>7014942</v>
      </c>
      <c r="B3394" t="s">
        <v>12610</v>
      </c>
      <c r="C3394" t="str">
        <f>"9783111066103"</f>
        <v>9783111066103</v>
      </c>
      <c r="D3394" t="str">
        <f>"9783111431567"</f>
        <v>9783111431567</v>
      </c>
      <c r="E3394" t="s">
        <v>350</v>
      </c>
      <c r="F3394" t="s">
        <v>12611</v>
      </c>
      <c r="G3394" t="s">
        <v>12612</v>
      </c>
      <c r="H3394" t="s">
        <v>3454</v>
      </c>
      <c r="L3394" t="s">
        <v>291</v>
      </c>
      <c r="M3394" t="s">
        <v>12613</v>
      </c>
    </row>
    <row r="3395" spans="1:13" x14ac:dyDescent="0.25">
      <c r="A3395">
        <v>7014943</v>
      </c>
      <c r="B3395" t="s">
        <v>12614</v>
      </c>
      <c r="C3395" t="str">
        <f>""</f>
        <v/>
      </c>
      <c r="D3395" t="str">
        <f>"9783110628548"</f>
        <v>9783110628548</v>
      </c>
      <c r="E3395" t="s">
        <v>350</v>
      </c>
      <c r="F3395" s="1">
        <v>43605</v>
      </c>
      <c r="G3395" t="s">
        <v>12615</v>
      </c>
      <c r="H3395" t="s">
        <v>1380</v>
      </c>
      <c r="L3395" t="s">
        <v>20</v>
      </c>
      <c r="M3395" t="s">
        <v>12616</v>
      </c>
    </row>
    <row r="3396" spans="1:13" x14ac:dyDescent="0.25">
      <c r="A3396">
        <v>7014944</v>
      </c>
      <c r="B3396" t="s">
        <v>12617</v>
      </c>
      <c r="C3396" t="str">
        <f>""</f>
        <v/>
      </c>
      <c r="D3396" t="str">
        <f>"9783111574141"</f>
        <v>9783111574141</v>
      </c>
      <c r="E3396" t="s">
        <v>350</v>
      </c>
      <c r="F3396" s="1">
        <v>5936</v>
      </c>
      <c r="G3396" t="s">
        <v>12618</v>
      </c>
      <c r="H3396" t="s">
        <v>2368</v>
      </c>
      <c r="L3396" t="s">
        <v>291</v>
      </c>
      <c r="M3396" t="s">
        <v>12619</v>
      </c>
    </row>
    <row r="3397" spans="1:13" x14ac:dyDescent="0.25">
      <c r="A3397">
        <v>7014945</v>
      </c>
      <c r="B3397" t="s">
        <v>12620</v>
      </c>
      <c r="C3397" t="str">
        <f>"9783110601503"</f>
        <v>9783110601503</v>
      </c>
      <c r="D3397" t="str">
        <f>"9783110601558"</f>
        <v>9783110601558</v>
      </c>
      <c r="E3397" t="s">
        <v>350</v>
      </c>
      <c r="F3397" s="1">
        <v>43453</v>
      </c>
      <c r="G3397" t="s">
        <v>12621</v>
      </c>
      <c r="H3397" t="s">
        <v>12622</v>
      </c>
      <c r="L3397" t="s">
        <v>20</v>
      </c>
      <c r="M3397" t="s">
        <v>12623</v>
      </c>
    </row>
    <row r="3398" spans="1:13" x14ac:dyDescent="0.25">
      <c r="A3398">
        <v>7014946</v>
      </c>
      <c r="B3398" t="s">
        <v>12624</v>
      </c>
      <c r="C3398" t="str">
        <f>""</f>
        <v/>
      </c>
      <c r="D3398" t="str">
        <f>"9783111496382"</f>
        <v>9783111496382</v>
      </c>
      <c r="E3398" t="s">
        <v>350</v>
      </c>
      <c r="F3398" s="1">
        <v>5205</v>
      </c>
      <c r="G3398" t="s">
        <v>12625</v>
      </c>
      <c r="H3398" t="s">
        <v>70</v>
      </c>
      <c r="L3398" t="s">
        <v>291</v>
      </c>
      <c r="M3398" t="s">
        <v>12626</v>
      </c>
    </row>
    <row r="3399" spans="1:13" x14ac:dyDescent="0.25">
      <c r="A3399">
        <v>7014947</v>
      </c>
      <c r="B3399" t="s">
        <v>12627</v>
      </c>
      <c r="C3399" t="str">
        <f>""</f>
        <v/>
      </c>
      <c r="D3399" t="str">
        <f>"9783111716343"</f>
        <v>9783111716343</v>
      </c>
      <c r="E3399" t="s">
        <v>350</v>
      </c>
      <c r="F3399" s="1">
        <v>92</v>
      </c>
      <c r="G3399" t="s">
        <v>12628</v>
      </c>
      <c r="H3399" t="s">
        <v>266</v>
      </c>
      <c r="L3399" t="s">
        <v>291</v>
      </c>
      <c r="M3399" t="s">
        <v>12629</v>
      </c>
    </row>
    <row r="3400" spans="1:13" x14ac:dyDescent="0.25">
      <c r="A3400">
        <v>7014948</v>
      </c>
      <c r="B3400" t="s">
        <v>12630</v>
      </c>
      <c r="C3400" t="str">
        <f>""</f>
        <v/>
      </c>
      <c r="D3400" t="str">
        <f>"9783110661941"</f>
        <v>9783110661941</v>
      </c>
      <c r="E3400" t="s">
        <v>350</v>
      </c>
      <c r="F3400" s="1">
        <v>44355</v>
      </c>
      <c r="G3400" t="s">
        <v>12631</v>
      </c>
      <c r="H3400" t="s">
        <v>4161</v>
      </c>
      <c r="L3400" t="s">
        <v>20</v>
      </c>
      <c r="M3400" t="s">
        <v>12632</v>
      </c>
    </row>
    <row r="3401" spans="1:13" x14ac:dyDescent="0.25">
      <c r="A3401">
        <v>7014949</v>
      </c>
      <c r="B3401" t="s">
        <v>12633</v>
      </c>
      <c r="C3401" t="str">
        <f>""</f>
        <v/>
      </c>
      <c r="D3401" t="str">
        <f>"9783110880038"</f>
        <v>9783110880038</v>
      </c>
      <c r="E3401" t="s">
        <v>270</v>
      </c>
      <c r="F3401" s="1">
        <v>30468</v>
      </c>
      <c r="G3401" t="s">
        <v>12634</v>
      </c>
      <c r="H3401" t="s">
        <v>7739</v>
      </c>
      <c r="L3401" t="s">
        <v>20</v>
      </c>
      <c r="M3401" t="s">
        <v>12635</v>
      </c>
    </row>
    <row r="3402" spans="1:13" x14ac:dyDescent="0.25">
      <c r="A3402">
        <v>7014950</v>
      </c>
      <c r="B3402" t="s">
        <v>12636</v>
      </c>
      <c r="C3402" t="str">
        <f>""</f>
        <v/>
      </c>
      <c r="D3402" t="str">
        <f>"9783110757279"</f>
        <v>9783110757279</v>
      </c>
      <c r="E3402" t="s">
        <v>350</v>
      </c>
      <c r="F3402" s="1">
        <v>44522</v>
      </c>
      <c r="G3402" t="s">
        <v>12637</v>
      </c>
      <c r="H3402" t="s">
        <v>139</v>
      </c>
      <c r="J3402">
        <v>940.10720000000003</v>
      </c>
      <c r="L3402" t="s">
        <v>20</v>
      </c>
      <c r="M3402" t="s">
        <v>12638</v>
      </c>
    </row>
    <row r="3403" spans="1:13" x14ac:dyDescent="0.25">
      <c r="A3403">
        <v>7014951</v>
      </c>
      <c r="B3403" t="s">
        <v>12639</v>
      </c>
      <c r="C3403" t="str">
        <f>""</f>
        <v/>
      </c>
      <c r="D3403" t="str">
        <f>"9783110722055"</f>
        <v>9783110722055</v>
      </c>
      <c r="E3403" t="s">
        <v>350</v>
      </c>
      <c r="F3403" s="1">
        <v>44410</v>
      </c>
      <c r="G3403" t="s">
        <v>12640</v>
      </c>
      <c r="H3403" t="s">
        <v>12641</v>
      </c>
      <c r="L3403" t="s">
        <v>291</v>
      </c>
      <c r="M3403" t="s">
        <v>12642</v>
      </c>
    </row>
    <row r="3404" spans="1:13" x14ac:dyDescent="0.25">
      <c r="A3404">
        <v>7014952</v>
      </c>
      <c r="B3404" t="s">
        <v>12643</v>
      </c>
      <c r="C3404" t="str">
        <f>""</f>
        <v/>
      </c>
      <c r="D3404" t="str">
        <f>"9783486774801"</f>
        <v>9783486774801</v>
      </c>
      <c r="E3404" t="s">
        <v>350</v>
      </c>
      <c r="F3404" s="1">
        <v>14977</v>
      </c>
      <c r="G3404" t="s">
        <v>12644</v>
      </c>
      <c r="H3404" t="s">
        <v>16</v>
      </c>
      <c r="L3404" t="s">
        <v>291</v>
      </c>
      <c r="M3404" t="s">
        <v>12645</v>
      </c>
    </row>
    <row r="3405" spans="1:13" x14ac:dyDescent="0.25">
      <c r="A3405">
        <v>7014953</v>
      </c>
      <c r="B3405" t="s">
        <v>12646</v>
      </c>
      <c r="C3405" t="str">
        <f>""</f>
        <v/>
      </c>
      <c r="D3405" t="str">
        <f>"9783110720273"</f>
        <v>9783110720273</v>
      </c>
      <c r="E3405" t="s">
        <v>350</v>
      </c>
      <c r="F3405" s="1">
        <v>42510</v>
      </c>
      <c r="G3405" t="s">
        <v>12647</v>
      </c>
      <c r="H3405" t="s">
        <v>851</v>
      </c>
      <c r="L3405" t="s">
        <v>20</v>
      </c>
      <c r="M3405" t="s">
        <v>12648</v>
      </c>
    </row>
    <row r="3406" spans="1:13" x14ac:dyDescent="0.25">
      <c r="A3406">
        <v>7014954</v>
      </c>
      <c r="B3406" t="s">
        <v>12649</v>
      </c>
      <c r="C3406" t="str">
        <f>""</f>
        <v/>
      </c>
      <c r="D3406" t="str">
        <f>"9783111708645"</f>
        <v>9783111708645</v>
      </c>
      <c r="E3406" t="s">
        <v>350</v>
      </c>
      <c r="F3406" s="1">
        <v>27120</v>
      </c>
      <c r="G3406" t="s">
        <v>12650</v>
      </c>
      <c r="H3406" t="s">
        <v>239</v>
      </c>
      <c r="L3406" t="s">
        <v>291</v>
      </c>
      <c r="M3406" t="s">
        <v>12651</v>
      </c>
    </row>
    <row r="3407" spans="1:13" x14ac:dyDescent="0.25">
      <c r="A3407">
        <v>7014955</v>
      </c>
      <c r="B3407" t="s">
        <v>12652</v>
      </c>
      <c r="C3407" t="str">
        <f>""</f>
        <v/>
      </c>
      <c r="D3407" t="str">
        <f>"9783110655162"</f>
        <v>9783110655162</v>
      </c>
      <c r="E3407" t="s">
        <v>350</v>
      </c>
      <c r="F3407" s="1">
        <v>24108</v>
      </c>
      <c r="G3407" t="s">
        <v>12653</v>
      </c>
      <c r="H3407" t="s">
        <v>139</v>
      </c>
      <c r="L3407" t="s">
        <v>291</v>
      </c>
      <c r="M3407" t="s">
        <v>12654</v>
      </c>
    </row>
    <row r="3408" spans="1:13" x14ac:dyDescent="0.25">
      <c r="A3408">
        <v>7014956</v>
      </c>
      <c r="B3408" t="s">
        <v>12655</v>
      </c>
      <c r="C3408" t="str">
        <f>""</f>
        <v/>
      </c>
      <c r="D3408" t="str">
        <f>"9783110629675"</f>
        <v>9783110629675</v>
      </c>
      <c r="E3408" t="s">
        <v>350</v>
      </c>
      <c r="F3408" s="1">
        <v>44536</v>
      </c>
      <c r="G3408" t="s">
        <v>12656</v>
      </c>
      <c r="H3408" t="s">
        <v>851</v>
      </c>
      <c r="L3408" t="s">
        <v>1279</v>
      </c>
      <c r="M3408" t="s">
        <v>12657</v>
      </c>
    </row>
    <row r="3409" spans="1:13" x14ac:dyDescent="0.25">
      <c r="A3409">
        <v>7014957</v>
      </c>
      <c r="B3409" t="s">
        <v>12658</v>
      </c>
      <c r="C3409" t="str">
        <f>""</f>
        <v/>
      </c>
      <c r="D3409" t="str">
        <f>"9783111584430"</f>
        <v>9783111584430</v>
      </c>
      <c r="E3409" t="s">
        <v>350</v>
      </c>
      <c r="F3409" t="s">
        <v>12659</v>
      </c>
      <c r="G3409" t="s">
        <v>12660</v>
      </c>
      <c r="H3409" t="s">
        <v>70</v>
      </c>
      <c r="L3409" t="s">
        <v>291</v>
      </c>
      <c r="M3409" t="s">
        <v>12661</v>
      </c>
    </row>
    <row r="3410" spans="1:13" x14ac:dyDescent="0.25">
      <c r="A3410">
        <v>7014958</v>
      </c>
      <c r="B3410" t="s">
        <v>12662</v>
      </c>
      <c r="C3410" t="str">
        <f>""</f>
        <v/>
      </c>
      <c r="D3410" t="str">
        <f>"9783110674194"</f>
        <v>9783110674194</v>
      </c>
      <c r="E3410" t="s">
        <v>350</v>
      </c>
      <c r="F3410" s="1">
        <v>44446</v>
      </c>
      <c r="G3410" t="s">
        <v>12663</v>
      </c>
      <c r="H3410" t="s">
        <v>16</v>
      </c>
      <c r="L3410" t="s">
        <v>291</v>
      </c>
      <c r="M3410" t="s">
        <v>12664</v>
      </c>
    </row>
    <row r="3411" spans="1:13" x14ac:dyDescent="0.25">
      <c r="A3411">
        <v>7014959</v>
      </c>
      <c r="B3411" t="s">
        <v>12665</v>
      </c>
      <c r="C3411" t="str">
        <f>"9783486559026"</f>
        <v>9783486559026</v>
      </c>
      <c r="D3411" t="str">
        <f>"9783486594218"</f>
        <v>9783486594218</v>
      </c>
      <c r="E3411" t="s">
        <v>350</v>
      </c>
      <c r="F3411" s="1">
        <v>33893</v>
      </c>
      <c r="G3411" t="s">
        <v>12666</v>
      </c>
      <c r="H3411" t="s">
        <v>139</v>
      </c>
      <c r="L3411" t="s">
        <v>291</v>
      </c>
      <c r="M3411" t="s">
        <v>12667</v>
      </c>
    </row>
    <row r="3412" spans="1:13" x14ac:dyDescent="0.25">
      <c r="A3412">
        <v>7014960</v>
      </c>
      <c r="B3412" t="s">
        <v>12668</v>
      </c>
      <c r="C3412" t="str">
        <f>""</f>
        <v/>
      </c>
      <c r="D3412" t="str">
        <f>"9783110707489"</f>
        <v>9783110707489</v>
      </c>
      <c r="E3412" t="s">
        <v>350</v>
      </c>
      <c r="F3412" s="1">
        <v>44494</v>
      </c>
      <c r="G3412" t="s">
        <v>12669</v>
      </c>
      <c r="H3412" t="s">
        <v>70</v>
      </c>
      <c r="L3412" t="s">
        <v>291</v>
      </c>
      <c r="M3412" t="s">
        <v>12670</v>
      </c>
    </row>
    <row r="3413" spans="1:13" x14ac:dyDescent="0.25">
      <c r="A3413">
        <v>7014961</v>
      </c>
      <c r="B3413" t="s">
        <v>12671</v>
      </c>
      <c r="C3413" t="str">
        <f>""</f>
        <v/>
      </c>
      <c r="D3413" t="str">
        <f>"9783486757422"</f>
        <v>9783486757422</v>
      </c>
      <c r="E3413" t="s">
        <v>350</v>
      </c>
      <c r="F3413" s="1">
        <v>10594</v>
      </c>
      <c r="G3413" t="s">
        <v>12672</v>
      </c>
      <c r="H3413" t="s">
        <v>16</v>
      </c>
      <c r="L3413" t="s">
        <v>291</v>
      </c>
      <c r="M3413" t="s">
        <v>12673</v>
      </c>
    </row>
    <row r="3414" spans="1:13" x14ac:dyDescent="0.25">
      <c r="A3414">
        <v>7014962</v>
      </c>
      <c r="B3414" t="s">
        <v>12674</v>
      </c>
      <c r="C3414" t="str">
        <f>""</f>
        <v/>
      </c>
      <c r="D3414" t="str">
        <f>"9783110845273"</f>
        <v>9783110845273</v>
      </c>
      <c r="E3414" t="s">
        <v>350</v>
      </c>
      <c r="F3414" s="1">
        <v>23163</v>
      </c>
      <c r="G3414" t="s">
        <v>12675</v>
      </c>
      <c r="H3414" t="s">
        <v>689</v>
      </c>
      <c r="L3414" t="s">
        <v>291</v>
      </c>
      <c r="M3414" t="s">
        <v>12676</v>
      </c>
    </row>
    <row r="3415" spans="1:13" x14ac:dyDescent="0.25">
      <c r="A3415">
        <v>7014963</v>
      </c>
      <c r="B3415" t="s">
        <v>12677</v>
      </c>
      <c r="C3415" t="str">
        <f>""</f>
        <v/>
      </c>
      <c r="D3415" t="str">
        <f>"9783110664270"</f>
        <v>9783110664270</v>
      </c>
      <c r="E3415" t="s">
        <v>350</v>
      </c>
      <c r="F3415" s="1">
        <v>44355</v>
      </c>
      <c r="G3415" t="s">
        <v>12678</v>
      </c>
      <c r="H3415" t="s">
        <v>310</v>
      </c>
      <c r="J3415">
        <v>200.710904</v>
      </c>
      <c r="L3415" t="s">
        <v>20</v>
      </c>
      <c r="M3415" t="s">
        <v>12679</v>
      </c>
    </row>
    <row r="3416" spans="1:13" x14ac:dyDescent="0.25">
      <c r="A3416">
        <v>7014964</v>
      </c>
      <c r="B3416" t="s">
        <v>12680</v>
      </c>
      <c r="C3416" t="str">
        <f>""</f>
        <v/>
      </c>
      <c r="D3416" t="str">
        <f>"9783486823363"</f>
        <v>9783486823363</v>
      </c>
      <c r="E3416" t="s">
        <v>350</v>
      </c>
      <c r="F3416" s="1">
        <v>30494</v>
      </c>
      <c r="G3416" t="s">
        <v>12681</v>
      </c>
      <c r="H3416" t="s">
        <v>64</v>
      </c>
      <c r="L3416" t="s">
        <v>291</v>
      </c>
      <c r="M3416" t="s">
        <v>12682</v>
      </c>
    </row>
    <row r="3417" spans="1:13" x14ac:dyDescent="0.25">
      <c r="A3417">
        <v>7014965</v>
      </c>
      <c r="B3417" t="s">
        <v>12683</v>
      </c>
      <c r="C3417" t="str">
        <f>""</f>
        <v/>
      </c>
      <c r="D3417" t="str">
        <f>"9783110734690"</f>
        <v>9783110734690</v>
      </c>
      <c r="E3417" t="s">
        <v>270</v>
      </c>
      <c r="F3417" s="1">
        <v>44396</v>
      </c>
      <c r="G3417" t="s">
        <v>12684</v>
      </c>
      <c r="H3417" t="s">
        <v>1562</v>
      </c>
      <c r="L3417" t="s">
        <v>20</v>
      </c>
      <c r="M3417" t="s">
        <v>12685</v>
      </c>
    </row>
    <row r="3418" spans="1:13" x14ac:dyDescent="0.25">
      <c r="A3418">
        <v>7014966</v>
      </c>
      <c r="B3418" t="s">
        <v>12686</v>
      </c>
      <c r="C3418" t="str">
        <f>""</f>
        <v/>
      </c>
      <c r="D3418" t="str">
        <f>"9783110675788"</f>
        <v>9783110675788</v>
      </c>
      <c r="E3418" t="s">
        <v>350</v>
      </c>
      <c r="F3418" s="1">
        <v>44536</v>
      </c>
      <c r="G3418" t="s">
        <v>8072</v>
      </c>
      <c r="H3418" t="s">
        <v>139</v>
      </c>
      <c r="L3418" t="s">
        <v>291</v>
      </c>
      <c r="M3418" t="s">
        <v>12687</v>
      </c>
    </row>
    <row r="3419" spans="1:13" x14ac:dyDescent="0.25">
      <c r="A3419">
        <v>7014967</v>
      </c>
      <c r="B3419" t="s">
        <v>12688</v>
      </c>
      <c r="C3419" t="str">
        <f>"9783110586343"</f>
        <v>9783110586343</v>
      </c>
      <c r="D3419" t="str">
        <f>"9783110586374"</f>
        <v>9783110586374</v>
      </c>
      <c r="E3419" t="s">
        <v>350</v>
      </c>
      <c r="F3419" s="1">
        <v>43395</v>
      </c>
      <c r="G3419" t="s">
        <v>12689</v>
      </c>
      <c r="H3419" t="s">
        <v>851</v>
      </c>
      <c r="J3419">
        <v>401.41</v>
      </c>
      <c r="L3419" t="s">
        <v>20</v>
      </c>
      <c r="M3419" t="s">
        <v>12690</v>
      </c>
    </row>
    <row r="3420" spans="1:13" x14ac:dyDescent="0.25">
      <c r="A3420">
        <v>7014968</v>
      </c>
      <c r="B3420" t="s">
        <v>12691</v>
      </c>
      <c r="C3420" t="str">
        <f>""</f>
        <v/>
      </c>
      <c r="D3420" t="str">
        <f>"9783110735574"</f>
        <v>9783110735574</v>
      </c>
      <c r="E3420" t="s">
        <v>350</v>
      </c>
      <c r="F3420" s="1">
        <v>44326</v>
      </c>
      <c r="G3420" t="s">
        <v>12692</v>
      </c>
      <c r="H3420" t="s">
        <v>101</v>
      </c>
      <c r="L3420" t="s">
        <v>291</v>
      </c>
      <c r="M3420" t="s">
        <v>12693</v>
      </c>
    </row>
    <row r="3421" spans="1:13" x14ac:dyDescent="0.25">
      <c r="A3421">
        <v>7014969</v>
      </c>
      <c r="B3421" t="s">
        <v>12694</v>
      </c>
      <c r="C3421" t="str">
        <f>""</f>
        <v/>
      </c>
      <c r="D3421" t="str">
        <f>"9783486778342"</f>
        <v>9783486778342</v>
      </c>
      <c r="E3421" t="s">
        <v>350</v>
      </c>
      <c r="F3421" s="1">
        <v>18719</v>
      </c>
      <c r="G3421" t="s">
        <v>12695</v>
      </c>
      <c r="H3421" t="s">
        <v>108</v>
      </c>
      <c r="L3421" t="s">
        <v>291</v>
      </c>
      <c r="M3421" t="s">
        <v>12696</v>
      </c>
    </row>
    <row r="3422" spans="1:13" x14ac:dyDescent="0.25">
      <c r="A3422">
        <v>7014970</v>
      </c>
      <c r="B3422" t="s">
        <v>12697</v>
      </c>
      <c r="C3422" t="str">
        <f>""</f>
        <v/>
      </c>
      <c r="D3422" t="str">
        <f>"9783111689692"</f>
        <v>9783111689692</v>
      </c>
      <c r="E3422" t="s">
        <v>350</v>
      </c>
      <c r="F3422" s="1">
        <v>457</v>
      </c>
      <c r="G3422" t="s">
        <v>12698</v>
      </c>
      <c r="H3422" t="s">
        <v>70</v>
      </c>
      <c r="L3422" t="s">
        <v>291</v>
      </c>
      <c r="M3422" t="s">
        <v>12699</v>
      </c>
    </row>
    <row r="3423" spans="1:13" x14ac:dyDescent="0.25">
      <c r="A3423">
        <v>7014971</v>
      </c>
      <c r="B3423" t="s">
        <v>12700</v>
      </c>
      <c r="C3423" t="str">
        <f>""</f>
        <v/>
      </c>
      <c r="D3423" t="str">
        <f>"9783110891041"</f>
        <v>9783110891041</v>
      </c>
      <c r="E3423" t="s">
        <v>270</v>
      </c>
      <c r="F3423" s="1">
        <v>26299</v>
      </c>
      <c r="H3423" t="s">
        <v>41</v>
      </c>
      <c r="L3423" t="s">
        <v>20</v>
      </c>
      <c r="M3423" t="s">
        <v>12701</v>
      </c>
    </row>
    <row r="3424" spans="1:13" x14ac:dyDescent="0.25">
      <c r="A3424">
        <v>7014972</v>
      </c>
      <c r="B3424" t="s">
        <v>12702</v>
      </c>
      <c r="C3424" t="str">
        <f>""</f>
        <v/>
      </c>
      <c r="D3424" t="str">
        <f>"9783111569598"</f>
        <v>9783111569598</v>
      </c>
      <c r="E3424" t="s">
        <v>350</v>
      </c>
      <c r="F3424" s="1">
        <v>1187</v>
      </c>
      <c r="G3424" t="s">
        <v>12703</v>
      </c>
      <c r="H3424" t="s">
        <v>139</v>
      </c>
      <c r="L3424" t="s">
        <v>291</v>
      </c>
      <c r="M3424" t="s">
        <v>12704</v>
      </c>
    </row>
    <row r="3425" spans="1:13" x14ac:dyDescent="0.25">
      <c r="A3425">
        <v>7014973</v>
      </c>
      <c r="B3425" t="s">
        <v>12705</v>
      </c>
      <c r="C3425" t="str">
        <f>"9783110601251"</f>
        <v>9783110601251</v>
      </c>
      <c r="D3425" t="str">
        <f>"9783110601268"</f>
        <v>9783110601268</v>
      </c>
      <c r="E3425" t="s">
        <v>350</v>
      </c>
      <c r="F3425" s="1">
        <v>43395</v>
      </c>
      <c r="G3425" t="s">
        <v>12706</v>
      </c>
      <c r="H3425" t="s">
        <v>139</v>
      </c>
      <c r="L3425" t="s">
        <v>291</v>
      </c>
      <c r="M3425" t="s">
        <v>12707</v>
      </c>
    </row>
    <row r="3426" spans="1:13" x14ac:dyDescent="0.25">
      <c r="A3426">
        <v>7014974</v>
      </c>
      <c r="B3426" t="s">
        <v>12708</v>
      </c>
      <c r="C3426" t="str">
        <f>""</f>
        <v/>
      </c>
      <c r="D3426" t="str">
        <f>"9783110665376"</f>
        <v>9783110665376</v>
      </c>
      <c r="E3426" t="s">
        <v>350</v>
      </c>
      <c r="F3426" s="1">
        <v>43990</v>
      </c>
      <c r="G3426" t="s">
        <v>12709</v>
      </c>
      <c r="H3426" t="s">
        <v>139</v>
      </c>
      <c r="L3426" t="s">
        <v>20</v>
      </c>
      <c r="M3426" t="s">
        <v>12710</v>
      </c>
    </row>
    <row r="3427" spans="1:13" x14ac:dyDescent="0.25">
      <c r="A3427">
        <v>7014975</v>
      </c>
      <c r="B3427" t="s">
        <v>12711</v>
      </c>
      <c r="C3427" t="str">
        <f>"9783110607192"</f>
        <v>9783110607192</v>
      </c>
      <c r="D3427" t="str">
        <f>"9783110607208"</f>
        <v>9783110607208</v>
      </c>
      <c r="E3427" t="s">
        <v>350</v>
      </c>
      <c r="F3427" s="1">
        <v>43465</v>
      </c>
      <c r="G3427" t="s">
        <v>12712</v>
      </c>
      <c r="H3427" t="s">
        <v>4413</v>
      </c>
      <c r="L3427" t="s">
        <v>20</v>
      </c>
      <c r="M3427" t="s">
        <v>12713</v>
      </c>
    </row>
    <row r="3428" spans="1:13" x14ac:dyDescent="0.25">
      <c r="A3428">
        <v>7014976</v>
      </c>
      <c r="B3428" t="s">
        <v>12714</v>
      </c>
      <c r="C3428" t="str">
        <f>""</f>
        <v/>
      </c>
      <c r="D3428" t="str">
        <f>"9783111642673"</f>
        <v>9783111642673</v>
      </c>
      <c r="E3428" t="s">
        <v>350</v>
      </c>
      <c r="F3428" s="1">
        <v>21641</v>
      </c>
      <c r="G3428" t="s">
        <v>12715</v>
      </c>
      <c r="H3428" t="s">
        <v>689</v>
      </c>
      <c r="L3428" t="s">
        <v>291</v>
      </c>
      <c r="M3428" t="s">
        <v>12716</v>
      </c>
    </row>
    <row r="3429" spans="1:13" x14ac:dyDescent="0.25">
      <c r="A3429">
        <v>7014977</v>
      </c>
      <c r="B3429" t="s">
        <v>12717</v>
      </c>
      <c r="C3429" t="str">
        <f>""</f>
        <v/>
      </c>
      <c r="D3429" t="str">
        <f>"9783110719253"</f>
        <v>9783110719253</v>
      </c>
      <c r="E3429" t="s">
        <v>350</v>
      </c>
      <c r="F3429" s="1">
        <v>44305</v>
      </c>
      <c r="G3429" t="s">
        <v>12718</v>
      </c>
      <c r="H3429" t="s">
        <v>139</v>
      </c>
      <c r="J3429">
        <v>951.05499999999995</v>
      </c>
      <c r="L3429" t="s">
        <v>291</v>
      </c>
      <c r="M3429" t="s">
        <v>12719</v>
      </c>
    </row>
    <row r="3430" spans="1:13" x14ac:dyDescent="0.25">
      <c r="A3430">
        <v>7014978</v>
      </c>
      <c r="B3430" t="s">
        <v>12720</v>
      </c>
      <c r="C3430" t="str">
        <f>""</f>
        <v/>
      </c>
      <c r="D3430" t="str">
        <f>"9788395720451"</f>
        <v>9788395720451</v>
      </c>
      <c r="E3430" t="s">
        <v>350</v>
      </c>
      <c r="F3430" s="1">
        <v>44063</v>
      </c>
      <c r="G3430" t="s">
        <v>12721</v>
      </c>
      <c r="H3430" t="s">
        <v>30</v>
      </c>
      <c r="L3430" t="s">
        <v>20</v>
      </c>
      <c r="M3430" t="s">
        <v>12722</v>
      </c>
    </row>
    <row r="3431" spans="1:13" x14ac:dyDescent="0.25">
      <c r="A3431">
        <v>7014979</v>
      </c>
      <c r="B3431" t="s">
        <v>12723</v>
      </c>
      <c r="C3431" t="str">
        <f>""</f>
        <v/>
      </c>
      <c r="D3431" t="str">
        <f>"9783110709889"</f>
        <v>9783110709889</v>
      </c>
      <c r="E3431" t="s">
        <v>350</v>
      </c>
      <c r="F3431" s="1">
        <v>44263</v>
      </c>
      <c r="G3431" t="s">
        <v>12724</v>
      </c>
      <c r="H3431" t="s">
        <v>3388</v>
      </c>
      <c r="L3431" t="s">
        <v>291</v>
      </c>
      <c r="M3431" t="s">
        <v>12725</v>
      </c>
    </row>
    <row r="3432" spans="1:13" x14ac:dyDescent="0.25">
      <c r="A3432">
        <v>7014980</v>
      </c>
      <c r="B3432" t="s">
        <v>12726</v>
      </c>
      <c r="C3432" t="str">
        <f>""</f>
        <v/>
      </c>
      <c r="D3432" t="str">
        <f>"9783110703467"</f>
        <v>9783110703467</v>
      </c>
      <c r="E3432" t="s">
        <v>350</v>
      </c>
      <c r="F3432" s="1">
        <v>44536</v>
      </c>
      <c r="G3432" t="s">
        <v>4351</v>
      </c>
      <c r="H3432" t="s">
        <v>70</v>
      </c>
      <c r="L3432" t="s">
        <v>291</v>
      </c>
      <c r="M3432" t="s">
        <v>12727</v>
      </c>
    </row>
    <row r="3433" spans="1:13" x14ac:dyDescent="0.25">
      <c r="A3433">
        <v>7014981</v>
      </c>
      <c r="B3433" t="s">
        <v>12728</v>
      </c>
      <c r="C3433" t="str">
        <f>""</f>
        <v/>
      </c>
      <c r="D3433" t="str">
        <f>"9783111590677"</f>
        <v>9783111590677</v>
      </c>
      <c r="E3433" t="s">
        <v>350</v>
      </c>
      <c r="F3433" s="1">
        <v>5936</v>
      </c>
      <c r="G3433" t="s">
        <v>12729</v>
      </c>
      <c r="H3433" t="s">
        <v>139</v>
      </c>
      <c r="L3433" t="s">
        <v>291</v>
      </c>
      <c r="M3433" t="s">
        <v>12730</v>
      </c>
    </row>
    <row r="3434" spans="1:13" x14ac:dyDescent="0.25">
      <c r="A3434">
        <v>7014982</v>
      </c>
      <c r="B3434" t="s">
        <v>12731</v>
      </c>
      <c r="C3434" t="str">
        <f>""</f>
        <v/>
      </c>
      <c r="D3434" t="str">
        <f>"9783111667515"</f>
        <v>9783111667515</v>
      </c>
      <c r="E3434" t="s">
        <v>270</v>
      </c>
      <c r="F3434" s="1">
        <v>43556</v>
      </c>
      <c r="G3434" t="s">
        <v>12732</v>
      </c>
      <c r="H3434" t="s">
        <v>4224</v>
      </c>
      <c r="L3434" t="s">
        <v>20</v>
      </c>
      <c r="M3434" t="s">
        <v>12733</v>
      </c>
    </row>
    <row r="3435" spans="1:13" x14ac:dyDescent="0.25">
      <c r="A3435">
        <v>7014983</v>
      </c>
      <c r="B3435" t="s">
        <v>12734</v>
      </c>
      <c r="C3435" t="str">
        <f>""</f>
        <v/>
      </c>
      <c r="D3435" t="str">
        <f>"9783422986398"</f>
        <v>9783422986398</v>
      </c>
      <c r="E3435" t="s">
        <v>7656</v>
      </c>
      <c r="F3435" s="1">
        <v>44454</v>
      </c>
      <c r="G3435" t="s">
        <v>12735</v>
      </c>
      <c r="H3435" t="s">
        <v>662</v>
      </c>
      <c r="L3435" t="s">
        <v>291</v>
      </c>
      <c r="M3435" t="s">
        <v>12736</v>
      </c>
    </row>
    <row r="3436" spans="1:13" x14ac:dyDescent="0.25">
      <c r="A3436">
        <v>7014984</v>
      </c>
      <c r="B3436" t="s">
        <v>12737</v>
      </c>
      <c r="C3436" t="str">
        <f>""</f>
        <v/>
      </c>
      <c r="D3436" t="str">
        <f>"9783110730937"</f>
        <v>9783110730937</v>
      </c>
      <c r="E3436" t="s">
        <v>350</v>
      </c>
      <c r="F3436" s="1">
        <v>44263</v>
      </c>
      <c r="G3436" t="s">
        <v>12738</v>
      </c>
      <c r="H3436" t="s">
        <v>70</v>
      </c>
      <c r="L3436" t="s">
        <v>291</v>
      </c>
      <c r="M3436" t="s">
        <v>12739</v>
      </c>
    </row>
    <row r="3437" spans="1:13" x14ac:dyDescent="0.25">
      <c r="A3437">
        <v>7014985</v>
      </c>
      <c r="B3437" t="s">
        <v>12740</v>
      </c>
      <c r="C3437" t="str">
        <f>""</f>
        <v/>
      </c>
      <c r="D3437" t="str">
        <f>"9783486761177"</f>
        <v>9783486761177</v>
      </c>
      <c r="E3437" t="s">
        <v>350</v>
      </c>
      <c r="F3437" s="1">
        <v>25934</v>
      </c>
      <c r="G3437" t="s">
        <v>12741</v>
      </c>
      <c r="H3437" t="s">
        <v>16</v>
      </c>
      <c r="L3437" t="s">
        <v>291</v>
      </c>
      <c r="M3437" t="s">
        <v>12742</v>
      </c>
    </row>
    <row r="3438" spans="1:13" x14ac:dyDescent="0.25">
      <c r="A3438">
        <v>7014986</v>
      </c>
      <c r="B3438" t="s">
        <v>12743</v>
      </c>
      <c r="C3438" t="str">
        <f>""</f>
        <v/>
      </c>
      <c r="D3438" t="str">
        <f>"9783110679151"</f>
        <v>9783110679151</v>
      </c>
      <c r="E3438" t="s">
        <v>350</v>
      </c>
      <c r="F3438" s="1">
        <v>44382</v>
      </c>
      <c r="G3438" t="s">
        <v>12744</v>
      </c>
      <c r="H3438" t="s">
        <v>30</v>
      </c>
      <c r="J3438">
        <v>320.14999999999998</v>
      </c>
      <c r="L3438" t="s">
        <v>20</v>
      </c>
      <c r="M3438" t="s">
        <v>12745</v>
      </c>
    </row>
    <row r="3439" spans="1:13" x14ac:dyDescent="0.25">
      <c r="A3439">
        <v>7014987</v>
      </c>
      <c r="B3439" t="s">
        <v>12746</v>
      </c>
      <c r="C3439" t="str">
        <f>""</f>
        <v/>
      </c>
      <c r="D3439" t="str">
        <f>"9783486746624"</f>
        <v>9783486746624</v>
      </c>
      <c r="E3439" t="s">
        <v>350</v>
      </c>
      <c r="F3439" s="1">
        <v>7762</v>
      </c>
      <c r="G3439" t="s">
        <v>12747</v>
      </c>
      <c r="H3439" t="s">
        <v>139</v>
      </c>
      <c r="L3439" t="s">
        <v>291</v>
      </c>
      <c r="M3439" t="s">
        <v>12748</v>
      </c>
    </row>
    <row r="3440" spans="1:13" x14ac:dyDescent="0.25">
      <c r="A3440">
        <v>7014988</v>
      </c>
      <c r="B3440" t="s">
        <v>12749</v>
      </c>
      <c r="C3440" t="str">
        <f>""</f>
        <v/>
      </c>
      <c r="D3440" t="str">
        <f>"9783111596372"</f>
        <v>9783111596372</v>
      </c>
      <c r="E3440" t="s">
        <v>350</v>
      </c>
      <c r="F3440" t="s">
        <v>12750</v>
      </c>
      <c r="G3440" t="s">
        <v>12751</v>
      </c>
      <c r="H3440" t="s">
        <v>310</v>
      </c>
      <c r="L3440" t="s">
        <v>291</v>
      </c>
      <c r="M3440" t="s">
        <v>12752</v>
      </c>
    </row>
    <row r="3441" spans="1:13" x14ac:dyDescent="0.25">
      <c r="A3441">
        <v>7014989</v>
      </c>
      <c r="B3441" t="s">
        <v>12753</v>
      </c>
      <c r="C3441" t="str">
        <f>""</f>
        <v/>
      </c>
      <c r="D3441" t="str">
        <f>"9783111476513"</f>
        <v>9783111476513</v>
      </c>
      <c r="E3441" t="s">
        <v>350</v>
      </c>
      <c r="F3441" t="s">
        <v>12754</v>
      </c>
      <c r="G3441" t="s">
        <v>12755</v>
      </c>
      <c r="H3441" t="s">
        <v>1178</v>
      </c>
      <c r="L3441" t="s">
        <v>291</v>
      </c>
      <c r="M3441" t="s">
        <v>12756</v>
      </c>
    </row>
    <row r="3442" spans="1:13" x14ac:dyDescent="0.25">
      <c r="A3442">
        <v>7014990</v>
      </c>
      <c r="B3442" t="s">
        <v>12757</v>
      </c>
      <c r="C3442" t="str">
        <f>""</f>
        <v/>
      </c>
      <c r="D3442" t="str">
        <f>"9783111655406"</f>
        <v>9783111655406</v>
      </c>
      <c r="E3442" t="s">
        <v>270</v>
      </c>
      <c r="F3442" s="1">
        <v>23833</v>
      </c>
      <c r="G3442" t="s">
        <v>12758</v>
      </c>
      <c r="H3442" t="s">
        <v>12759</v>
      </c>
      <c r="L3442" t="s">
        <v>20</v>
      </c>
      <c r="M3442" t="s">
        <v>12760</v>
      </c>
    </row>
    <row r="3443" spans="1:13" x14ac:dyDescent="0.25">
      <c r="A3443">
        <v>7014991</v>
      </c>
      <c r="B3443" t="s">
        <v>12761</v>
      </c>
      <c r="C3443" t="str">
        <f>""</f>
        <v/>
      </c>
      <c r="D3443" t="str">
        <f>"9783111383057"</f>
        <v>9783111383057</v>
      </c>
      <c r="E3443" t="s">
        <v>350</v>
      </c>
      <c r="F3443" s="1">
        <v>26024</v>
      </c>
      <c r="G3443" t="s">
        <v>12762</v>
      </c>
      <c r="H3443" t="s">
        <v>12763</v>
      </c>
      <c r="L3443" t="s">
        <v>291</v>
      </c>
      <c r="M3443" t="s">
        <v>12764</v>
      </c>
    </row>
    <row r="3444" spans="1:13" x14ac:dyDescent="0.25">
      <c r="A3444">
        <v>7014992</v>
      </c>
      <c r="B3444" t="s">
        <v>12765</v>
      </c>
      <c r="C3444" t="str">
        <f>""</f>
        <v/>
      </c>
      <c r="D3444" t="str">
        <f>"9783111557823"</f>
        <v>9783111557823</v>
      </c>
      <c r="E3444" t="s">
        <v>270</v>
      </c>
      <c r="F3444" s="1">
        <v>24929</v>
      </c>
      <c r="G3444" t="s">
        <v>12766</v>
      </c>
      <c r="H3444" t="s">
        <v>851</v>
      </c>
      <c r="L3444" t="s">
        <v>1279</v>
      </c>
      <c r="M3444" t="s">
        <v>12767</v>
      </c>
    </row>
    <row r="3445" spans="1:13" x14ac:dyDescent="0.25">
      <c r="A3445">
        <v>7014993</v>
      </c>
      <c r="B3445" t="s">
        <v>12768</v>
      </c>
      <c r="C3445" t="str">
        <f>""</f>
        <v/>
      </c>
      <c r="D3445" t="str">
        <f>"9783486780079"</f>
        <v>9783486780079</v>
      </c>
      <c r="E3445" t="s">
        <v>350</v>
      </c>
      <c r="F3445" s="1">
        <v>43617</v>
      </c>
      <c r="G3445" t="s">
        <v>12769</v>
      </c>
      <c r="H3445" t="s">
        <v>139</v>
      </c>
      <c r="L3445" t="s">
        <v>291</v>
      </c>
      <c r="M3445" t="s">
        <v>12770</v>
      </c>
    </row>
    <row r="3446" spans="1:13" x14ac:dyDescent="0.25">
      <c r="A3446">
        <v>7014994</v>
      </c>
      <c r="B3446" t="s">
        <v>12771</v>
      </c>
      <c r="C3446" t="str">
        <f>""</f>
        <v/>
      </c>
      <c r="D3446" t="str">
        <f>"9783110685015"</f>
        <v>9783110685015</v>
      </c>
      <c r="E3446" t="s">
        <v>350</v>
      </c>
      <c r="F3446" s="1">
        <v>44277</v>
      </c>
      <c r="G3446" t="s">
        <v>12772</v>
      </c>
      <c r="H3446" t="s">
        <v>30</v>
      </c>
      <c r="J3446">
        <v>327.430612</v>
      </c>
      <c r="L3446" t="s">
        <v>20</v>
      </c>
      <c r="M3446" t="s">
        <v>12773</v>
      </c>
    </row>
    <row r="3447" spans="1:13" x14ac:dyDescent="0.25">
      <c r="A3447">
        <v>7014995</v>
      </c>
      <c r="B3447" t="s">
        <v>12774</v>
      </c>
      <c r="C3447" t="str">
        <f>""</f>
        <v/>
      </c>
      <c r="D3447" t="str">
        <f>"9783111645551"</f>
        <v>9783111645551</v>
      </c>
      <c r="E3447" t="s">
        <v>350</v>
      </c>
      <c r="F3447" s="1">
        <v>22007</v>
      </c>
      <c r="G3447" t="s">
        <v>12775</v>
      </c>
      <c r="H3447" t="s">
        <v>689</v>
      </c>
      <c r="L3447" t="s">
        <v>291</v>
      </c>
      <c r="M3447" t="s">
        <v>12776</v>
      </c>
    </row>
    <row r="3448" spans="1:13" x14ac:dyDescent="0.25">
      <c r="A3448">
        <v>7014996</v>
      </c>
      <c r="B3448" t="s">
        <v>12777</v>
      </c>
      <c r="C3448" t="str">
        <f>""</f>
        <v/>
      </c>
      <c r="D3448" t="str">
        <f>"9783110673265"</f>
        <v>9783110673265</v>
      </c>
      <c r="E3448" t="s">
        <v>350</v>
      </c>
      <c r="F3448" s="1">
        <v>43990</v>
      </c>
      <c r="G3448" t="s">
        <v>12778</v>
      </c>
      <c r="H3448" t="s">
        <v>12779</v>
      </c>
      <c r="L3448" t="s">
        <v>291</v>
      </c>
      <c r="M3448" t="s">
        <v>12780</v>
      </c>
    </row>
    <row r="3449" spans="1:13" x14ac:dyDescent="0.25">
      <c r="A3449">
        <v>7014997</v>
      </c>
      <c r="B3449" t="s">
        <v>12781</v>
      </c>
      <c r="C3449" t="str">
        <f>""</f>
        <v/>
      </c>
      <c r="D3449" t="str">
        <f>"9783486755688"</f>
        <v>9783486755688</v>
      </c>
      <c r="E3449" t="s">
        <v>350</v>
      </c>
      <c r="F3449" s="1">
        <v>9863</v>
      </c>
      <c r="G3449" t="s">
        <v>12782</v>
      </c>
      <c r="H3449" t="s">
        <v>1586</v>
      </c>
      <c r="L3449" t="s">
        <v>291</v>
      </c>
      <c r="M3449" t="s">
        <v>12783</v>
      </c>
    </row>
    <row r="3450" spans="1:13" x14ac:dyDescent="0.25">
      <c r="A3450">
        <v>7014998</v>
      </c>
      <c r="B3450" t="s">
        <v>12784</v>
      </c>
      <c r="C3450" t="str">
        <f>""</f>
        <v/>
      </c>
      <c r="D3450" t="str">
        <f>"9783111683898"</f>
        <v>9783111683898</v>
      </c>
      <c r="E3450" t="s">
        <v>350</v>
      </c>
      <c r="F3450" t="s">
        <v>12785</v>
      </c>
      <c r="G3450" t="s">
        <v>12628</v>
      </c>
      <c r="H3450" t="s">
        <v>266</v>
      </c>
      <c r="L3450" t="s">
        <v>291</v>
      </c>
      <c r="M3450" t="s">
        <v>12786</v>
      </c>
    </row>
    <row r="3451" spans="1:13" x14ac:dyDescent="0.25">
      <c r="A3451">
        <v>7014999</v>
      </c>
      <c r="B3451" t="s">
        <v>12787</v>
      </c>
      <c r="C3451" t="str">
        <f>""</f>
        <v/>
      </c>
      <c r="D3451" t="str">
        <f>"9783486762013"</f>
        <v>9783486762013</v>
      </c>
      <c r="E3451" t="s">
        <v>350</v>
      </c>
      <c r="F3451" s="1">
        <v>10959</v>
      </c>
      <c r="G3451" t="s">
        <v>12788</v>
      </c>
      <c r="H3451" t="s">
        <v>12789</v>
      </c>
      <c r="L3451" t="s">
        <v>291</v>
      </c>
      <c r="M3451" t="s">
        <v>12790</v>
      </c>
    </row>
    <row r="3452" spans="1:13" x14ac:dyDescent="0.25">
      <c r="A3452">
        <v>7015000</v>
      </c>
      <c r="B3452" t="s">
        <v>12791</v>
      </c>
      <c r="C3452" t="str">
        <f>"9783486558449"</f>
        <v>9783486558449</v>
      </c>
      <c r="D3452" t="str">
        <f>"9783486595635"</f>
        <v>9783486595635</v>
      </c>
      <c r="E3452" t="s">
        <v>350</v>
      </c>
      <c r="F3452" s="1">
        <v>33427</v>
      </c>
      <c r="G3452" t="s">
        <v>12792</v>
      </c>
      <c r="H3452" t="s">
        <v>139</v>
      </c>
      <c r="J3452">
        <v>944.04</v>
      </c>
      <c r="L3452" t="s">
        <v>291</v>
      </c>
      <c r="M3452" t="s">
        <v>12793</v>
      </c>
    </row>
    <row r="3453" spans="1:13" x14ac:dyDescent="0.25">
      <c r="A3453">
        <v>7015001</v>
      </c>
      <c r="B3453" t="s">
        <v>12794</v>
      </c>
      <c r="C3453" t="str">
        <f>""</f>
        <v/>
      </c>
      <c r="D3453" t="str">
        <f>"9783110622423"</f>
        <v>9783110622423</v>
      </c>
      <c r="E3453" t="s">
        <v>350</v>
      </c>
      <c r="F3453" s="1">
        <v>32933</v>
      </c>
      <c r="G3453" t="s">
        <v>12441</v>
      </c>
      <c r="H3453" t="s">
        <v>851</v>
      </c>
      <c r="L3453" t="s">
        <v>291</v>
      </c>
      <c r="M3453" t="s">
        <v>12795</v>
      </c>
    </row>
    <row r="3454" spans="1:13" x14ac:dyDescent="0.25">
      <c r="A3454">
        <v>7015002</v>
      </c>
      <c r="B3454" t="s">
        <v>12796</v>
      </c>
      <c r="C3454" t="str">
        <f>""</f>
        <v/>
      </c>
      <c r="D3454" t="str">
        <f>"9783486776775"</f>
        <v>9783486776775</v>
      </c>
      <c r="E3454" t="s">
        <v>350</v>
      </c>
      <c r="F3454" s="1">
        <v>17258</v>
      </c>
      <c r="G3454" t="s">
        <v>12797</v>
      </c>
      <c r="H3454" t="s">
        <v>4974</v>
      </c>
      <c r="L3454" t="s">
        <v>291</v>
      </c>
      <c r="M3454" t="s">
        <v>12798</v>
      </c>
    </row>
    <row r="3455" spans="1:13" x14ac:dyDescent="0.25">
      <c r="A3455">
        <v>7015003</v>
      </c>
      <c r="B3455" t="s">
        <v>12799</v>
      </c>
      <c r="C3455" t="str">
        <f>""</f>
        <v/>
      </c>
      <c r="D3455" t="str">
        <f>"9783486777932"</f>
        <v>9783486777932</v>
      </c>
      <c r="E3455" t="s">
        <v>350</v>
      </c>
      <c r="F3455" s="1">
        <v>18354</v>
      </c>
      <c r="G3455" t="s">
        <v>12800</v>
      </c>
      <c r="H3455" t="s">
        <v>4974</v>
      </c>
      <c r="L3455" t="s">
        <v>291</v>
      </c>
      <c r="M3455" t="s">
        <v>12801</v>
      </c>
    </row>
    <row r="3456" spans="1:13" x14ac:dyDescent="0.25">
      <c r="A3456">
        <v>7015004</v>
      </c>
      <c r="B3456" t="s">
        <v>12802</v>
      </c>
      <c r="C3456" t="str">
        <f>""</f>
        <v/>
      </c>
      <c r="D3456" t="str">
        <f>"9783111604114"</f>
        <v>9783111604114</v>
      </c>
      <c r="E3456" t="s">
        <v>350</v>
      </c>
      <c r="F3456" s="1">
        <v>5936</v>
      </c>
      <c r="G3456" t="s">
        <v>12803</v>
      </c>
      <c r="H3456" t="s">
        <v>239</v>
      </c>
      <c r="L3456" t="s">
        <v>291</v>
      </c>
      <c r="M3456" t="s">
        <v>12804</v>
      </c>
    </row>
    <row r="3457" spans="1:13" x14ac:dyDescent="0.25">
      <c r="A3457">
        <v>7015005</v>
      </c>
      <c r="B3457" t="s">
        <v>12805</v>
      </c>
      <c r="C3457" t="str">
        <f>""</f>
        <v/>
      </c>
      <c r="D3457" t="str">
        <f>"9783110707014"</f>
        <v>9783110707014</v>
      </c>
      <c r="E3457" t="s">
        <v>350</v>
      </c>
      <c r="F3457" s="1">
        <v>44508</v>
      </c>
      <c r="G3457" t="s">
        <v>12806</v>
      </c>
      <c r="H3457" t="s">
        <v>3454</v>
      </c>
      <c r="L3457" t="s">
        <v>20</v>
      </c>
      <c r="M3457" t="s">
        <v>12807</v>
      </c>
    </row>
    <row r="3458" spans="1:13" x14ac:dyDescent="0.25">
      <c r="A3458">
        <v>7015006</v>
      </c>
      <c r="B3458" t="s">
        <v>12808</v>
      </c>
      <c r="C3458" t="str">
        <f>""</f>
        <v/>
      </c>
      <c r="D3458" t="str">
        <f>"9783111656892"</f>
        <v>9783111656892</v>
      </c>
      <c r="E3458" t="s">
        <v>350</v>
      </c>
      <c r="F3458" s="1">
        <v>2648</v>
      </c>
      <c r="G3458" t="s">
        <v>12809</v>
      </c>
      <c r="H3458" t="s">
        <v>139</v>
      </c>
      <c r="L3458" t="s">
        <v>291</v>
      </c>
      <c r="M3458" t="s">
        <v>12810</v>
      </c>
    </row>
    <row r="3459" spans="1:13" x14ac:dyDescent="0.25">
      <c r="A3459">
        <v>7015007</v>
      </c>
      <c r="B3459" t="s">
        <v>12811</v>
      </c>
      <c r="C3459" t="str">
        <f>""</f>
        <v/>
      </c>
      <c r="D3459" t="str">
        <f>"9783110688917"</f>
        <v>9783110688917</v>
      </c>
      <c r="E3459" t="s">
        <v>350</v>
      </c>
      <c r="F3459" s="1">
        <v>44396</v>
      </c>
      <c r="G3459" t="s">
        <v>12812</v>
      </c>
      <c r="H3459" t="s">
        <v>310</v>
      </c>
      <c r="L3459" t="s">
        <v>1609</v>
      </c>
      <c r="M3459" t="s">
        <v>12813</v>
      </c>
    </row>
    <row r="3460" spans="1:13" x14ac:dyDescent="0.25">
      <c r="A3460">
        <v>7015008</v>
      </c>
      <c r="B3460" t="s">
        <v>12814</v>
      </c>
      <c r="C3460" t="str">
        <f>""</f>
        <v/>
      </c>
      <c r="D3460" t="str">
        <f>"9783110745832"</f>
        <v>9783110745832</v>
      </c>
      <c r="E3460" t="s">
        <v>350</v>
      </c>
      <c r="F3460" s="1">
        <v>44536</v>
      </c>
      <c r="G3460" t="s">
        <v>7630</v>
      </c>
      <c r="H3460" t="s">
        <v>3933</v>
      </c>
      <c r="L3460" t="s">
        <v>20</v>
      </c>
      <c r="M3460" t="s">
        <v>12815</v>
      </c>
    </row>
    <row r="3461" spans="1:13" x14ac:dyDescent="0.25">
      <c r="A3461">
        <v>7015009</v>
      </c>
      <c r="B3461" t="s">
        <v>12816</v>
      </c>
      <c r="C3461" t="str">
        <f>""</f>
        <v/>
      </c>
      <c r="D3461" t="str">
        <f>"9783110642018"</f>
        <v>9783110642018</v>
      </c>
      <c r="E3461" t="s">
        <v>350</v>
      </c>
      <c r="F3461" s="1">
        <v>44214</v>
      </c>
      <c r="G3461" t="s">
        <v>12817</v>
      </c>
      <c r="H3461" t="s">
        <v>70</v>
      </c>
      <c r="L3461" t="s">
        <v>20</v>
      </c>
      <c r="M3461" t="s">
        <v>12818</v>
      </c>
    </row>
    <row r="3462" spans="1:13" x14ac:dyDescent="0.25">
      <c r="A3462">
        <v>7015010</v>
      </c>
      <c r="B3462" t="s">
        <v>12819</v>
      </c>
      <c r="C3462" t="str">
        <f>""</f>
        <v/>
      </c>
      <c r="D3462" t="str">
        <f>"9783110446609"</f>
        <v>9783110446609</v>
      </c>
      <c r="E3462" t="s">
        <v>350</v>
      </c>
      <c r="F3462" s="1">
        <v>33955</v>
      </c>
      <c r="G3462" t="s">
        <v>12820</v>
      </c>
      <c r="H3462" t="s">
        <v>139</v>
      </c>
      <c r="L3462" t="s">
        <v>291</v>
      </c>
      <c r="M3462" t="s">
        <v>12821</v>
      </c>
    </row>
    <row r="3463" spans="1:13" x14ac:dyDescent="0.25">
      <c r="A3463">
        <v>7015011</v>
      </c>
      <c r="B3463" t="s">
        <v>12822</v>
      </c>
      <c r="C3463" t="str">
        <f>""</f>
        <v/>
      </c>
      <c r="D3463" t="str">
        <f>"9788395669644"</f>
        <v>9788395669644</v>
      </c>
      <c r="E3463" t="s">
        <v>350</v>
      </c>
      <c r="F3463" s="1">
        <v>44410</v>
      </c>
      <c r="G3463" t="s">
        <v>12823</v>
      </c>
      <c r="H3463" t="s">
        <v>101</v>
      </c>
      <c r="L3463" t="s">
        <v>20</v>
      </c>
      <c r="M3463" t="s">
        <v>12824</v>
      </c>
    </row>
    <row r="3464" spans="1:13" x14ac:dyDescent="0.25">
      <c r="A3464">
        <v>7015012</v>
      </c>
      <c r="B3464" t="s">
        <v>12825</v>
      </c>
      <c r="C3464" t="str">
        <f>""</f>
        <v/>
      </c>
      <c r="D3464" t="str">
        <f>"9783110614244"</f>
        <v>9783110614244</v>
      </c>
      <c r="E3464" t="s">
        <v>350</v>
      </c>
      <c r="F3464" s="1">
        <v>43759</v>
      </c>
      <c r="G3464" t="s">
        <v>12826</v>
      </c>
      <c r="H3464" t="s">
        <v>2047</v>
      </c>
      <c r="L3464" t="s">
        <v>291</v>
      </c>
      <c r="M3464" t="s">
        <v>12827</v>
      </c>
    </row>
    <row r="3465" spans="1:13" x14ac:dyDescent="0.25">
      <c r="A3465">
        <v>7015013</v>
      </c>
      <c r="B3465" t="s">
        <v>12828</v>
      </c>
      <c r="C3465" t="str">
        <f>"9783111280967"</f>
        <v>9783111280967</v>
      </c>
      <c r="D3465" t="str">
        <f>"9783111717784"</f>
        <v>9783111717784</v>
      </c>
      <c r="E3465" t="s">
        <v>350</v>
      </c>
      <c r="F3465" t="s">
        <v>12829</v>
      </c>
      <c r="G3465" t="s">
        <v>12830</v>
      </c>
      <c r="H3465" t="s">
        <v>310</v>
      </c>
      <c r="L3465" t="s">
        <v>291</v>
      </c>
      <c r="M3465" t="s">
        <v>12831</v>
      </c>
    </row>
    <row r="3466" spans="1:13" x14ac:dyDescent="0.25">
      <c r="A3466">
        <v>7015014</v>
      </c>
      <c r="B3466" t="s">
        <v>12832</v>
      </c>
      <c r="C3466" t="str">
        <f>""</f>
        <v/>
      </c>
      <c r="D3466" t="str">
        <f>"9783110731361"</f>
        <v>9783110731361</v>
      </c>
      <c r="E3466" t="s">
        <v>350</v>
      </c>
      <c r="F3466" s="1">
        <v>44292</v>
      </c>
      <c r="G3466" t="s">
        <v>12833</v>
      </c>
      <c r="H3466" t="s">
        <v>951</v>
      </c>
      <c r="L3466" t="s">
        <v>291</v>
      </c>
      <c r="M3466" t="s">
        <v>12834</v>
      </c>
    </row>
    <row r="3467" spans="1:13" x14ac:dyDescent="0.25">
      <c r="A3467">
        <v>7015015</v>
      </c>
      <c r="B3467" t="s">
        <v>12835</v>
      </c>
      <c r="C3467" t="str">
        <f>""</f>
        <v/>
      </c>
      <c r="D3467" t="str">
        <f>"9783110732740"</f>
        <v>9783110732740</v>
      </c>
      <c r="E3467" t="s">
        <v>350</v>
      </c>
      <c r="F3467" s="1">
        <v>44326</v>
      </c>
      <c r="G3467" t="s">
        <v>12836</v>
      </c>
      <c r="H3467" t="s">
        <v>108</v>
      </c>
      <c r="L3467" t="s">
        <v>20</v>
      </c>
      <c r="M3467" t="s">
        <v>12837</v>
      </c>
    </row>
    <row r="3468" spans="1:13" x14ac:dyDescent="0.25">
      <c r="A3468">
        <v>7015016</v>
      </c>
      <c r="B3468" t="s">
        <v>12838</v>
      </c>
      <c r="C3468" t="str">
        <f>""</f>
        <v/>
      </c>
      <c r="D3468" t="str">
        <f>"9783110811865"</f>
        <v>9783110811865</v>
      </c>
      <c r="E3468" t="s">
        <v>270</v>
      </c>
      <c r="F3468" s="1">
        <v>43497</v>
      </c>
      <c r="G3468" t="s">
        <v>12839</v>
      </c>
      <c r="H3468" t="s">
        <v>512</v>
      </c>
      <c r="L3468" t="s">
        <v>1279</v>
      </c>
      <c r="M3468" t="s">
        <v>12840</v>
      </c>
    </row>
    <row r="3469" spans="1:13" x14ac:dyDescent="0.25">
      <c r="A3469">
        <v>7015017</v>
      </c>
      <c r="B3469" t="s">
        <v>12841</v>
      </c>
      <c r="C3469" t="str">
        <f>""</f>
        <v/>
      </c>
      <c r="D3469" t="str">
        <f>"9783486817300"</f>
        <v>9783486817300</v>
      </c>
      <c r="E3469" t="s">
        <v>350</v>
      </c>
      <c r="F3469" s="1">
        <v>27364</v>
      </c>
      <c r="G3469" t="s">
        <v>12842</v>
      </c>
      <c r="H3469" t="s">
        <v>30</v>
      </c>
      <c r="L3469" t="s">
        <v>291</v>
      </c>
      <c r="M3469" t="s">
        <v>12843</v>
      </c>
    </row>
    <row r="3470" spans="1:13" x14ac:dyDescent="0.25">
      <c r="A3470">
        <v>7015018</v>
      </c>
      <c r="B3470" t="s">
        <v>12844</v>
      </c>
      <c r="C3470" t="str">
        <f>""</f>
        <v/>
      </c>
      <c r="D3470" t="str">
        <f>"9783110709308"</f>
        <v>9783110709308</v>
      </c>
      <c r="E3470" t="s">
        <v>350</v>
      </c>
      <c r="F3470" s="1">
        <v>44473</v>
      </c>
      <c r="G3470" t="s">
        <v>12845</v>
      </c>
      <c r="H3470" t="s">
        <v>139</v>
      </c>
      <c r="L3470" t="s">
        <v>20</v>
      </c>
      <c r="M3470" t="s">
        <v>12846</v>
      </c>
    </row>
    <row r="3471" spans="1:13" x14ac:dyDescent="0.25">
      <c r="A3471">
        <v>7015019</v>
      </c>
      <c r="B3471" t="s">
        <v>12847</v>
      </c>
      <c r="C3471" t="str">
        <f>""</f>
        <v/>
      </c>
      <c r="D3471" t="str">
        <f>"9783486758276"</f>
        <v>9783486758276</v>
      </c>
      <c r="E3471" t="s">
        <v>350</v>
      </c>
      <c r="F3471" s="1">
        <v>4019</v>
      </c>
      <c r="G3471" t="s">
        <v>12848</v>
      </c>
      <c r="H3471" t="s">
        <v>139</v>
      </c>
      <c r="L3471" t="s">
        <v>291</v>
      </c>
      <c r="M3471" t="s">
        <v>12849</v>
      </c>
    </row>
    <row r="3472" spans="1:13" x14ac:dyDescent="0.25">
      <c r="A3472">
        <v>7015020</v>
      </c>
      <c r="B3472" t="s">
        <v>12850</v>
      </c>
      <c r="C3472" t="str">
        <f>"9783110586381"</f>
        <v>9783110586381</v>
      </c>
      <c r="D3472" t="str">
        <f>"9783110586459"</f>
        <v>9783110586459</v>
      </c>
      <c r="E3472" t="s">
        <v>350</v>
      </c>
      <c r="F3472" s="1">
        <v>43395</v>
      </c>
      <c r="G3472" t="s">
        <v>12851</v>
      </c>
      <c r="H3472" t="s">
        <v>3107</v>
      </c>
      <c r="L3472" t="s">
        <v>1279</v>
      </c>
      <c r="M3472" t="s">
        <v>12852</v>
      </c>
    </row>
    <row r="3473" spans="1:13" x14ac:dyDescent="0.25">
      <c r="A3473">
        <v>7015021</v>
      </c>
      <c r="B3473" t="s">
        <v>12853</v>
      </c>
      <c r="C3473" t="str">
        <f>"9783110613209"</f>
        <v>9783110613209</v>
      </c>
      <c r="D3473" t="str">
        <f>"9783110614855"</f>
        <v>9783110614855</v>
      </c>
      <c r="E3473" t="s">
        <v>350</v>
      </c>
      <c r="F3473" s="1">
        <v>43409</v>
      </c>
      <c r="G3473" t="s">
        <v>3284</v>
      </c>
      <c r="H3473" t="s">
        <v>246</v>
      </c>
      <c r="L3473" t="s">
        <v>291</v>
      </c>
      <c r="M3473" t="s">
        <v>12854</v>
      </c>
    </row>
    <row r="3474" spans="1:13" x14ac:dyDescent="0.25">
      <c r="A3474">
        <v>7015022</v>
      </c>
      <c r="B3474" t="s">
        <v>12855</v>
      </c>
      <c r="C3474" t="str">
        <f>""</f>
        <v/>
      </c>
      <c r="D3474" t="str">
        <f>"9783110636628"</f>
        <v>9783110636628</v>
      </c>
      <c r="E3474" t="s">
        <v>350</v>
      </c>
      <c r="F3474" s="1">
        <v>44081</v>
      </c>
      <c r="G3474" t="s">
        <v>12856</v>
      </c>
      <c r="H3474" t="s">
        <v>272</v>
      </c>
      <c r="J3474">
        <v>21.2</v>
      </c>
      <c r="L3474" t="s">
        <v>20</v>
      </c>
      <c r="M3474" t="s">
        <v>12857</v>
      </c>
    </row>
    <row r="3475" spans="1:13" x14ac:dyDescent="0.25">
      <c r="A3475">
        <v>7015023</v>
      </c>
      <c r="B3475" t="s">
        <v>12858</v>
      </c>
      <c r="C3475" t="str">
        <f>""</f>
        <v/>
      </c>
      <c r="D3475" t="str">
        <f>"9783110683042"</f>
        <v>9783110683042</v>
      </c>
      <c r="E3475" t="s">
        <v>350</v>
      </c>
      <c r="F3475" s="1">
        <v>44536</v>
      </c>
      <c r="G3475" t="s">
        <v>12859</v>
      </c>
      <c r="H3475" t="s">
        <v>64</v>
      </c>
      <c r="J3475">
        <v>305.26</v>
      </c>
      <c r="L3475" t="s">
        <v>20</v>
      </c>
      <c r="M3475" t="s">
        <v>12860</v>
      </c>
    </row>
    <row r="3476" spans="1:13" x14ac:dyDescent="0.25">
      <c r="A3476">
        <v>7015024</v>
      </c>
      <c r="B3476" t="s">
        <v>12861</v>
      </c>
      <c r="C3476" t="str">
        <f>""</f>
        <v/>
      </c>
      <c r="D3476" t="str">
        <f>"9783110667189"</f>
        <v>9783110667189</v>
      </c>
      <c r="E3476" t="s">
        <v>350</v>
      </c>
      <c r="F3476" s="1">
        <v>44158</v>
      </c>
      <c r="G3476" t="s">
        <v>12862</v>
      </c>
      <c r="H3476" t="s">
        <v>70</v>
      </c>
      <c r="L3476" t="s">
        <v>291</v>
      </c>
      <c r="M3476" t="s">
        <v>12863</v>
      </c>
    </row>
    <row r="3477" spans="1:13" x14ac:dyDescent="0.25">
      <c r="A3477">
        <v>7015025</v>
      </c>
      <c r="B3477" t="s">
        <v>12864</v>
      </c>
      <c r="C3477" t="str">
        <f>"9783110605198"</f>
        <v>9783110605198</v>
      </c>
      <c r="D3477" t="str">
        <f>"9783110605570"</f>
        <v>9783110605570</v>
      </c>
      <c r="E3477" t="s">
        <v>350</v>
      </c>
      <c r="F3477" s="1">
        <v>43451</v>
      </c>
      <c r="G3477" t="s">
        <v>12865</v>
      </c>
      <c r="H3477" t="s">
        <v>1283</v>
      </c>
      <c r="L3477" t="s">
        <v>20</v>
      </c>
      <c r="M3477" t="s">
        <v>12866</v>
      </c>
    </row>
    <row r="3478" spans="1:13" x14ac:dyDescent="0.25">
      <c r="A3478">
        <v>7015026</v>
      </c>
      <c r="B3478" t="s">
        <v>12867</v>
      </c>
      <c r="C3478" t="str">
        <f>"9783110576832"</f>
        <v>9783110576832</v>
      </c>
      <c r="D3478" t="str">
        <f>"9783110591484"</f>
        <v>9783110591484</v>
      </c>
      <c r="E3478" t="s">
        <v>270</v>
      </c>
      <c r="F3478" s="1">
        <v>44158</v>
      </c>
      <c r="G3478" t="s">
        <v>12868</v>
      </c>
      <c r="H3478" t="s">
        <v>851</v>
      </c>
      <c r="L3478" t="s">
        <v>20</v>
      </c>
      <c r="M3478" t="s">
        <v>12869</v>
      </c>
    </row>
    <row r="3479" spans="1:13" x14ac:dyDescent="0.25">
      <c r="A3479">
        <v>7015027</v>
      </c>
      <c r="B3479" t="s">
        <v>12870</v>
      </c>
      <c r="C3479" t="str">
        <f>""</f>
        <v/>
      </c>
      <c r="D3479" t="str">
        <f>"9783111578156"</f>
        <v>9783111578156</v>
      </c>
      <c r="E3479" t="s">
        <v>350</v>
      </c>
      <c r="F3479" s="1">
        <v>23102</v>
      </c>
      <c r="G3479" t="s">
        <v>12871</v>
      </c>
      <c r="H3479" t="s">
        <v>1586</v>
      </c>
      <c r="L3479" t="s">
        <v>291</v>
      </c>
      <c r="M3479" t="s">
        <v>12872</v>
      </c>
    </row>
    <row r="3480" spans="1:13" x14ac:dyDescent="0.25">
      <c r="A3480">
        <v>7015028</v>
      </c>
      <c r="B3480" t="s">
        <v>12873</v>
      </c>
      <c r="C3480" t="str">
        <f>""</f>
        <v/>
      </c>
      <c r="D3480" t="str">
        <f>"9783110695755"</f>
        <v>9783110695755</v>
      </c>
      <c r="E3480" t="s">
        <v>350</v>
      </c>
      <c r="F3480" s="1">
        <v>44235</v>
      </c>
      <c r="G3480" t="s">
        <v>7845</v>
      </c>
      <c r="H3480" t="s">
        <v>70</v>
      </c>
      <c r="J3480" t="s">
        <v>12874</v>
      </c>
      <c r="L3480" t="s">
        <v>20</v>
      </c>
      <c r="M3480" t="s">
        <v>12875</v>
      </c>
    </row>
    <row r="3481" spans="1:13" x14ac:dyDescent="0.25">
      <c r="A3481">
        <v>7015029</v>
      </c>
      <c r="B3481" t="s">
        <v>12876</v>
      </c>
      <c r="C3481" t="str">
        <f>""</f>
        <v/>
      </c>
      <c r="D3481" t="str">
        <f>"9783110828368"</f>
        <v>9783110828368</v>
      </c>
      <c r="E3481" t="s">
        <v>270</v>
      </c>
      <c r="F3481" s="1">
        <v>43497</v>
      </c>
      <c r="G3481" t="s">
        <v>12877</v>
      </c>
      <c r="H3481" t="s">
        <v>120</v>
      </c>
      <c r="L3481" t="s">
        <v>20</v>
      </c>
      <c r="M3481" t="s">
        <v>12878</v>
      </c>
    </row>
    <row r="3482" spans="1:13" x14ac:dyDescent="0.25">
      <c r="A3482">
        <v>7015030</v>
      </c>
      <c r="B3482" t="s">
        <v>12879</v>
      </c>
      <c r="C3482" t="str">
        <f>""</f>
        <v/>
      </c>
      <c r="D3482" t="str">
        <f>"9783486772548"</f>
        <v>9783486772548</v>
      </c>
      <c r="E3482" t="s">
        <v>350</v>
      </c>
      <c r="F3482" s="1">
        <v>14702</v>
      </c>
      <c r="G3482" t="s">
        <v>12880</v>
      </c>
      <c r="H3482" t="s">
        <v>139</v>
      </c>
      <c r="L3482" t="s">
        <v>291</v>
      </c>
      <c r="M3482" t="s">
        <v>12881</v>
      </c>
    </row>
    <row r="3483" spans="1:13" x14ac:dyDescent="0.25">
      <c r="A3483">
        <v>7015031</v>
      </c>
      <c r="B3483" t="s">
        <v>12882</v>
      </c>
      <c r="C3483" t="str">
        <f>""</f>
        <v/>
      </c>
      <c r="D3483" t="str">
        <f>"9783110825411"</f>
        <v>9783110825411</v>
      </c>
      <c r="E3483" t="s">
        <v>350</v>
      </c>
      <c r="F3483" s="1">
        <v>24077</v>
      </c>
      <c r="G3483" t="s">
        <v>12883</v>
      </c>
      <c r="H3483" t="s">
        <v>3973</v>
      </c>
      <c r="L3483" t="s">
        <v>12884</v>
      </c>
      <c r="M3483" t="s">
        <v>12885</v>
      </c>
    </row>
    <row r="3484" spans="1:13" x14ac:dyDescent="0.25">
      <c r="A3484">
        <v>7015032</v>
      </c>
      <c r="B3484" t="s">
        <v>12886</v>
      </c>
      <c r="C3484" t="str">
        <f>""</f>
        <v/>
      </c>
      <c r="D3484" t="str">
        <f>"9783110671995"</f>
        <v>9783110671995</v>
      </c>
      <c r="E3484" t="s">
        <v>350</v>
      </c>
      <c r="F3484" s="1">
        <v>44431</v>
      </c>
      <c r="G3484" t="s">
        <v>4364</v>
      </c>
      <c r="H3484" t="s">
        <v>64</v>
      </c>
      <c r="J3484">
        <v>305.89240899999999</v>
      </c>
      <c r="L3484" t="s">
        <v>20</v>
      </c>
      <c r="M3484" t="s">
        <v>12887</v>
      </c>
    </row>
    <row r="3485" spans="1:13" x14ac:dyDescent="0.25">
      <c r="A3485">
        <v>7015033</v>
      </c>
      <c r="B3485" t="s">
        <v>12888</v>
      </c>
      <c r="C3485" t="str">
        <f>""</f>
        <v/>
      </c>
      <c r="D3485" t="str">
        <f>"9783110677072"</f>
        <v>9783110677072</v>
      </c>
      <c r="E3485" t="s">
        <v>350</v>
      </c>
      <c r="F3485" s="1">
        <v>44004</v>
      </c>
      <c r="G3485" t="s">
        <v>12889</v>
      </c>
      <c r="H3485" t="s">
        <v>70</v>
      </c>
      <c r="L3485" t="s">
        <v>291</v>
      </c>
      <c r="M3485" t="s">
        <v>12890</v>
      </c>
    </row>
    <row r="3486" spans="1:13" x14ac:dyDescent="0.25">
      <c r="A3486">
        <v>7015034</v>
      </c>
      <c r="B3486" t="s">
        <v>12891</v>
      </c>
      <c r="C3486" t="str">
        <f>""</f>
        <v/>
      </c>
      <c r="D3486" t="str">
        <f>"9788395793875"</f>
        <v>9788395793875</v>
      </c>
      <c r="E3486" t="s">
        <v>350</v>
      </c>
      <c r="F3486" s="1">
        <v>44195</v>
      </c>
      <c r="G3486" t="s">
        <v>12892</v>
      </c>
      <c r="H3486" t="s">
        <v>806</v>
      </c>
      <c r="L3486" t="s">
        <v>20</v>
      </c>
      <c r="M3486" t="s">
        <v>12893</v>
      </c>
    </row>
    <row r="3487" spans="1:13" x14ac:dyDescent="0.25">
      <c r="A3487">
        <v>7015035</v>
      </c>
      <c r="B3487" t="s">
        <v>12894</v>
      </c>
      <c r="C3487" t="str">
        <f>""</f>
        <v/>
      </c>
      <c r="D3487" t="str">
        <f>"9783110684827"</f>
        <v>9783110684827</v>
      </c>
      <c r="E3487" t="s">
        <v>350</v>
      </c>
      <c r="F3487" s="1">
        <v>44214</v>
      </c>
      <c r="G3487" t="s">
        <v>7969</v>
      </c>
      <c r="H3487" t="s">
        <v>12895</v>
      </c>
      <c r="L3487" t="s">
        <v>20</v>
      </c>
      <c r="M3487" t="s">
        <v>12896</v>
      </c>
    </row>
    <row r="3488" spans="1:13" x14ac:dyDescent="0.25">
      <c r="A3488">
        <v>7015036</v>
      </c>
      <c r="B3488" t="s">
        <v>12897</v>
      </c>
      <c r="C3488" t="str">
        <f>""</f>
        <v/>
      </c>
      <c r="D3488" t="str">
        <f>"9783111457550"</f>
        <v>9783111457550</v>
      </c>
      <c r="E3488" t="s">
        <v>350</v>
      </c>
      <c r="F3488" s="1">
        <v>457</v>
      </c>
      <c r="G3488" t="s">
        <v>12898</v>
      </c>
      <c r="H3488" t="s">
        <v>139</v>
      </c>
      <c r="L3488" t="s">
        <v>291</v>
      </c>
      <c r="M3488" t="s">
        <v>12899</v>
      </c>
    </row>
    <row r="3489" spans="1:13" x14ac:dyDescent="0.25">
      <c r="A3489">
        <v>7015037</v>
      </c>
      <c r="B3489" t="s">
        <v>12900</v>
      </c>
      <c r="C3489" t="str">
        <f>""</f>
        <v/>
      </c>
      <c r="D3489" t="str">
        <f>"9783111611242"</f>
        <v>9783111611242</v>
      </c>
      <c r="E3489" t="s">
        <v>350</v>
      </c>
      <c r="F3489" s="1">
        <v>21276</v>
      </c>
      <c r="G3489" t="s">
        <v>12901</v>
      </c>
      <c r="H3489" t="s">
        <v>12902</v>
      </c>
      <c r="L3489" t="s">
        <v>291</v>
      </c>
      <c r="M3489" t="s">
        <v>12903</v>
      </c>
    </row>
    <row r="3490" spans="1:13" x14ac:dyDescent="0.25">
      <c r="A3490">
        <v>7015038</v>
      </c>
      <c r="B3490" t="s">
        <v>12904</v>
      </c>
      <c r="C3490" t="str">
        <f>""</f>
        <v/>
      </c>
      <c r="D3490" t="str">
        <f>"9783111575803"</f>
        <v>9783111575803</v>
      </c>
      <c r="E3490" t="s">
        <v>350</v>
      </c>
      <c r="F3490" s="1">
        <v>43497</v>
      </c>
      <c r="G3490" t="s">
        <v>12905</v>
      </c>
      <c r="H3490" t="s">
        <v>1753</v>
      </c>
      <c r="L3490" t="s">
        <v>291</v>
      </c>
      <c r="M3490" t="s">
        <v>12906</v>
      </c>
    </row>
    <row r="3491" spans="1:13" x14ac:dyDescent="0.25">
      <c r="A3491">
        <v>7015039</v>
      </c>
      <c r="B3491" t="s">
        <v>12907</v>
      </c>
      <c r="C3491" t="str">
        <f>""</f>
        <v/>
      </c>
      <c r="D3491" t="str">
        <f>"9783110627275"</f>
        <v>9783110627275</v>
      </c>
      <c r="E3491" t="s">
        <v>350</v>
      </c>
      <c r="F3491" s="1">
        <v>44249</v>
      </c>
      <c r="G3491" t="s">
        <v>12908</v>
      </c>
      <c r="H3491" t="s">
        <v>64</v>
      </c>
      <c r="L3491" t="s">
        <v>20</v>
      </c>
      <c r="M3491" t="s">
        <v>12909</v>
      </c>
    </row>
    <row r="3492" spans="1:13" x14ac:dyDescent="0.25">
      <c r="A3492">
        <v>7015040</v>
      </c>
      <c r="B3492" t="s">
        <v>12910</v>
      </c>
      <c r="C3492" t="str">
        <f>"9783111114552"</f>
        <v>9783111114552</v>
      </c>
      <c r="D3492" t="str">
        <f>"9783111481395"</f>
        <v>9783111481395</v>
      </c>
      <c r="E3492" t="s">
        <v>350</v>
      </c>
      <c r="F3492" s="1">
        <v>7031</v>
      </c>
      <c r="G3492" t="s">
        <v>12911</v>
      </c>
      <c r="H3492" t="s">
        <v>12912</v>
      </c>
      <c r="L3492" t="s">
        <v>20</v>
      </c>
      <c r="M3492" t="s">
        <v>12913</v>
      </c>
    </row>
    <row r="3493" spans="1:13" x14ac:dyDescent="0.25">
      <c r="A3493">
        <v>7015041</v>
      </c>
      <c r="B3493" t="s">
        <v>12914</v>
      </c>
      <c r="C3493" t="str">
        <f>""</f>
        <v/>
      </c>
      <c r="D3493" t="str">
        <f>"9783110714333"</f>
        <v>9783110714333</v>
      </c>
      <c r="E3493" t="s">
        <v>350</v>
      </c>
      <c r="F3493" s="1">
        <v>44158</v>
      </c>
      <c r="G3493" t="s">
        <v>12915</v>
      </c>
      <c r="H3493" t="s">
        <v>70</v>
      </c>
      <c r="L3493" t="s">
        <v>20</v>
      </c>
      <c r="M3493" t="s">
        <v>12916</v>
      </c>
    </row>
    <row r="3494" spans="1:13" x14ac:dyDescent="0.25">
      <c r="A3494">
        <v>7015042</v>
      </c>
      <c r="B3494" t="s">
        <v>12917</v>
      </c>
      <c r="C3494" t="str">
        <f>""</f>
        <v/>
      </c>
      <c r="D3494" t="str">
        <f>"9783110756432"</f>
        <v>9783110756432</v>
      </c>
      <c r="E3494" t="s">
        <v>350</v>
      </c>
      <c r="F3494" s="1">
        <v>44494</v>
      </c>
      <c r="G3494" t="s">
        <v>12918</v>
      </c>
      <c r="H3494" t="s">
        <v>16</v>
      </c>
      <c r="L3494" t="s">
        <v>291</v>
      </c>
      <c r="M3494" t="s">
        <v>12919</v>
      </c>
    </row>
    <row r="3495" spans="1:13" x14ac:dyDescent="0.25">
      <c r="A3495">
        <v>7015043</v>
      </c>
      <c r="B3495" t="s">
        <v>12920</v>
      </c>
      <c r="C3495" t="str">
        <f>""</f>
        <v/>
      </c>
      <c r="D3495" t="str">
        <f>"9783111543222"</f>
        <v>9783111543222</v>
      </c>
      <c r="E3495" t="s">
        <v>270</v>
      </c>
      <c r="F3495" s="1">
        <v>24929</v>
      </c>
      <c r="G3495" t="s">
        <v>12921</v>
      </c>
      <c r="H3495" t="s">
        <v>951</v>
      </c>
      <c r="L3495" t="s">
        <v>20</v>
      </c>
      <c r="M3495" t="s">
        <v>12922</v>
      </c>
    </row>
    <row r="3496" spans="1:13" x14ac:dyDescent="0.25">
      <c r="A3496">
        <v>7015044</v>
      </c>
      <c r="B3496" t="s">
        <v>12923</v>
      </c>
      <c r="C3496" t="str">
        <f>""</f>
        <v/>
      </c>
      <c r="D3496" t="str">
        <f>"9783110671056"</f>
        <v>9783110671056</v>
      </c>
      <c r="E3496" t="s">
        <v>350</v>
      </c>
      <c r="F3496" s="1">
        <v>44368</v>
      </c>
      <c r="G3496" t="s">
        <v>12924</v>
      </c>
      <c r="H3496" t="s">
        <v>70</v>
      </c>
      <c r="J3496">
        <v>809.39358405318001</v>
      </c>
      <c r="L3496" t="s">
        <v>20</v>
      </c>
      <c r="M3496" t="s">
        <v>12925</v>
      </c>
    </row>
    <row r="3497" spans="1:13" x14ac:dyDescent="0.25">
      <c r="A3497">
        <v>7015045</v>
      </c>
      <c r="B3497" t="s">
        <v>12926</v>
      </c>
      <c r="C3497" t="str">
        <f>""</f>
        <v/>
      </c>
      <c r="D3497" t="str">
        <f>"9783111698281"</f>
        <v>9783111698281</v>
      </c>
      <c r="E3497" t="s">
        <v>270</v>
      </c>
      <c r="F3497" s="1">
        <v>25569</v>
      </c>
      <c r="G3497" t="s">
        <v>12927</v>
      </c>
      <c r="H3497" t="s">
        <v>1251</v>
      </c>
      <c r="L3497" t="s">
        <v>20</v>
      </c>
      <c r="M3497" t="s">
        <v>12928</v>
      </c>
    </row>
    <row r="3498" spans="1:13" x14ac:dyDescent="0.25">
      <c r="A3498">
        <v>7015046</v>
      </c>
      <c r="B3498" t="s">
        <v>12929</v>
      </c>
      <c r="C3498" t="str">
        <f>""</f>
        <v/>
      </c>
      <c r="D3498" t="str">
        <f>"9783111502731"</f>
        <v>9783111502731</v>
      </c>
      <c r="E3498" t="s">
        <v>350</v>
      </c>
      <c r="F3498" s="1">
        <v>21276</v>
      </c>
      <c r="G3498" t="s">
        <v>12930</v>
      </c>
      <c r="H3498" t="s">
        <v>266</v>
      </c>
      <c r="L3498" t="s">
        <v>291</v>
      </c>
      <c r="M3498" t="s">
        <v>12931</v>
      </c>
    </row>
    <row r="3499" spans="1:13" x14ac:dyDescent="0.25">
      <c r="A3499">
        <v>7015047</v>
      </c>
      <c r="B3499" t="s">
        <v>12932</v>
      </c>
      <c r="C3499" t="str">
        <f>""</f>
        <v/>
      </c>
      <c r="D3499" t="str">
        <f>"9783110720358"</f>
        <v>9783110720358</v>
      </c>
      <c r="E3499" t="s">
        <v>350</v>
      </c>
      <c r="F3499" s="1">
        <v>43008</v>
      </c>
      <c r="G3499" t="s">
        <v>12933</v>
      </c>
      <c r="H3499" t="s">
        <v>239</v>
      </c>
      <c r="L3499" t="s">
        <v>20</v>
      </c>
      <c r="M3499" t="s">
        <v>12934</v>
      </c>
    </row>
    <row r="3500" spans="1:13" x14ac:dyDescent="0.25">
      <c r="A3500">
        <v>7015048</v>
      </c>
      <c r="B3500" t="s">
        <v>12935</v>
      </c>
      <c r="C3500" t="str">
        <f>""</f>
        <v/>
      </c>
      <c r="D3500" t="str">
        <f>"9783110698732"</f>
        <v>9783110698732</v>
      </c>
      <c r="E3500" t="s">
        <v>350</v>
      </c>
      <c r="F3500" s="1">
        <v>44158</v>
      </c>
      <c r="G3500" t="s">
        <v>12936</v>
      </c>
      <c r="H3500" t="s">
        <v>12937</v>
      </c>
      <c r="L3500" t="s">
        <v>291</v>
      </c>
      <c r="M3500" t="s">
        <v>12938</v>
      </c>
    </row>
    <row r="3501" spans="1:13" x14ac:dyDescent="0.25">
      <c r="A3501">
        <v>7015049</v>
      </c>
      <c r="B3501" t="s">
        <v>12939</v>
      </c>
      <c r="C3501" t="str">
        <f>""</f>
        <v/>
      </c>
      <c r="D3501" t="str">
        <f>"9783110726534"</f>
        <v>9783110726534</v>
      </c>
      <c r="E3501" t="s">
        <v>350</v>
      </c>
      <c r="F3501" s="1">
        <v>44382</v>
      </c>
      <c r="G3501" t="s">
        <v>12940</v>
      </c>
      <c r="H3501" t="s">
        <v>64</v>
      </c>
      <c r="L3501" t="s">
        <v>20</v>
      </c>
      <c r="M3501" t="s">
        <v>12941</v>
      </c>
    </row>
    <row r="3502" spans="1:13" x14ac:dyDescent="0.25">
      <c r="A3502">
        <v>7015050</v>
      </c>
      <c r="B3502" t="s">
        <v>12942</v>
      </c>
      <c r="C3502" t="str">
        <f>""</f>
        <v/>
      </c>
      <c r="D3502" t="str">
        <f>"9783110718133"</f>
        <v>9783110718133</v>
      </c>
      <c r="E3502" t="s">
        <v>350</v>
      </c>
      <c r="F3502" s="1">
        <v>44235</v>
      </c>
      <c r="G3502" t="s">
        <v>12943</v>
      </c>
      <c r="H3502" t="s">
        <v>5236</v>
      </c>
      <c r="J3502">
        <v>914.30014000000006</v>
      </c>
      <c r="L3502" t="s">
        <v>291</v>
      </c>
      <c r="M3502" t="s">
        <v>12944</v>
      </c>
    </row>
    <row r="3503" spans="1:13" x14ac:dyDescent="0.25">
      <c r="A3503">
        <v>7015051</v>
      </c>
      <c r="B3503" t="s">
        <v>12945</v>
      </c>
      <c r="C3503" t="str">
        <f>""</f>
        <v/>
      </c>
      <c r="D3503" t="str">
        <f>"9783110736199"</f>
        <v>9783110736199</v>
      </c>
      <c r="E3503" t="s">
        <v>350</v>
      </c>
      <c r="F3503" s="1">
        <v>44494</v>
      </c>
      <c r="G3503" t="s">
        <v>12946</v>
      </c>
      <c r="H3503" t="s">
        <v>16</v>
      </c>
      <c r="J3503">
        <v>121.8</v>
      </c>
      <c r="L3503" t="s">
        <v>20</v>
      </c>
      <c r="M3503" t="s">
        <v>12947</v>
      </c>
    </row>
    <row r="3504" spans="1:13" x14ac:dyDescent="0.25">
      <c r="A3504">
        <v>7015052</v>
      </c>
      <c r="B3504" t="s">
        <v>12948</v>
      </c>
      <c r="C3504" t="str">
        <f>""</f>
        <v/>
      </c>
      <c r="D3504" t="str">
        <f>"9783110729085"</f>
        <v>9783110729085</v>
      </c>
      <c r="E3504" t="s">
        <v>350</v>
      </c>
      <c r="F3504" s="1">
        <v>44355</v>
      </c>
      <c r="G3504" t="s">
        <v>12949</v>
      </c>
      <c r="H3504" t="s">
        <v>70</v>
      </c>
      <c r="L3504" t="s">
        <v>291</v>
      </c>
      <c r="M3504" t="s">
        <v>12950</v>
      </c>
    </row>
    <row r="3505" spans="1:13" x14ac:dyDescent="0.25">
      <c r="A3505">
        <v>7015053</v>
      </c>
      <c r="B3505" t="s">
        <v>12951</v>
      </c>
      <c r="C3505" t="str">
        <f>""</f>
        <v/>
      </c>
      <c r="D3505" t="str">
        <f>"9783110743838"</f>
        <v>9783110743838</v>
      </c>
      <c r="E3505" t="s">
        <v>350</v>
      </c>
      <c r="F3505" s="1">
        <v>44522</v>
      </c>
      <c r="G3505" t="s">
        <v>12952</v>
      </c>
      <c r="H3505" t="s">
        <v>70</v>
      </c>
      <c r="L3505" t="s">
        <v>20</v>
      </c>
      <c r="M3505" t="s">
        <v>12953</v>
      </c>
    </row>
    <row r="3506" spans="1:13" x14ac:dyDescent="0.25">
      <c r="A3506">
        <v>7015054</v>
      </c>
      <c r="B3506" t="s">
        <v>12954</v>
      </c>
      <c r="C3506" t="str">
        <f>""</f>
        <v/>
      </c>
      <c r="D3506" t="str">
        <f>"9783111337579"</f>
        <v>9783111337579</v>
      </c>
      <c r="E3506" t="s">
        <v>350</v>
      </c>
      <c r="F3506" s="1">
        <v>24563</v>
      </c>
      <c r="G3506" t="s">
        <v>12955</v>
      </c>
      <c r="H3506" t="s">
        <v>1178</v>
      </c>
      <c r="L3506" t="s">
        <v>291</v>
      </c>
      <c r="M3506" t="s">
        <v>12956</v>
      </c>
    </row>
    <row r="3507" spans="1:13" x14ac:dyDescent="0.25">
      <c r="A3507">
        <v>7015055</v>
      </c>
      <c r="B3507" t="s">
        <v>12957</v>
      </c>
      <c r="C3507" t="str">
        <f>""</f>
        <v/>
      </c>
      <c r="D3507" t="str">
        <f>"9783110821482"</f>
        <v>9783110821482</v>
      </c>
      <c r="E3507" t="s">
        <v>350</v>
      </c>
      <c r="F3507" s="1">
        <v>43497</v>
      </c>
      <c r="G3507" t="s">
        <v>12958</v>
      </c>
      <c r="H3507" t="s">
        <v>139</v>
      </c>
      <c r="L3507" t="s">
        <v>291</v>
      </c>
      <c r="M3507" t="s">
        <v>12959</v>
      </c>
    </row>
    <row r="3508" spans="1:13" x14ac:dyDescent="0.25">
      <c r="A3508">
        <v>7015056</v>
      </c>
      <c r="B3508" t="s">
        <v>12960</v>
      </c>
      <c r="C3508" t="str">
        <f>""</f>
        <v/>
      </c>
      <c r="D3508" t="str">
        <f>"9783110657760"</f>
        <v>9783110657760</v>
      </c>
      <c r="E3508" t="s">
        <v>350</v>
      </c>
      <c r="F3508" s="1">
        <v>44181</v>
      </c>
      <c r="G3508" t="s">
        <v>12961</v>
      </c>
      <c r="H3508" t="s">
        <v>30</v>
      </c>
      <c r="J3508">
        <v>323.38209481000001</v>
      </c>
      <c r="L3508" t="s">
        <v>20</v>
      </c>
      <c r="M3508" t="s">
        <v>12962</v>
      </c>
    </row>
    <row r="3509" spans="1:13" x14ac:dyDescent="0.25">
      <c r="A3509">
        <v>7015057</v>
      </c>
      <c r="B3509" t="s">
        <v>12963</v>
      </c>
      <c r="C3509" t="str">
        <f>""</f>
        <v/>
      </c>
      <c r="D3509" t="str">
        <f>"9783110692990"</f>
        <v>9783110692990</v>
      </c>
      <c r="E3509" t="s">
        <v>350</v>
      </c>
      <c r="F3509" s="1">
        <v>44522</v>
      </c>
      <c r="G3509" t="s">
        <v>12964</v>
      </c>
      <c r="H3509" t="s">
        <v>1551</v>
      </c>
      <c r="L3509" t="s">
        <v>291</v>
      </c>
      <c r="M3509" t="s">
        <v>12965</v>
      </c>
    </row>
    <row r="3510" spans="1:13" x14ac:dyDescent="0.25">
      <c r="A3510">
        <v>7015058</v>
      </c>
      <c r="B3510" t="s">
        <v>12966</v>
      </c>
      <c r="C3510" t="str">
        <f>""</f>
        <v/>
      </c>
      <c r="D3510" t="str">
        <f>"9783110730777"</f>
        <v>9783110730777</v>
      </c>
      <c r="E3510" t="s">
        <v>350</v>
      </c>
      <c r="F3510" s="1">
        <v>44508</v>
      </c>
      <c r="G3510" t="s">
        <v>12967</v>
      </c>
      <c r="H3510" t="s">
        <v>139</v>
      </c>
      <c r="L3510" t="s">
        <v>291</v>
      </c>
      <c r="M3510" t="s">
        <v>12968</v>
      </c>
    </row>
    <row r="3511" spans="1:13" x14ac:dyDescent="0.25">
      <c r="A3511">
        <v>7015059</v>
      </c>
      <c r="B3511" t="s">
        <v>12969</v>
      </c>
      <c r="C3511" t="str">
        <f>""</f>
        <v/>
      </c>
      <c r="D3511" t="str">
        <f>"9783110720112"</f>
        <v>9783110720112</v>
      </c>
      <c r="E3511" t="s">
        <v>350</v>
      </c>
      <c r="F3511" s="1">
        <v>42114</v>
      </c>
      <c r="G3511" t="s">
        <v>12970</v>
      </c>
      <c r="H3511" t="s">
        <v>310</v>
      </c>
      <c r="L3511" t="s">
        <v>291</v>
      </c>
      <c r="M3511" t="s">
        <v>12971</v>
      </c>
    </row>
    <row r="3512" spans="1:13" x14ac:dyDescent="0.25">
      <c r="A3512">
        <v>7015060</v>
      </c>
      <c r="B3512" t="s">
        <v>12972</v>
      </c>
      <c r="C3512" t="str">
        <f>""</f>
        <v/>
      </c>
      <c r="D3512" t="str">
        <f>"9783110732139"</f>
        <v>9783110732139</v>
      </c>
      <c r="E3512" t="s">
        <v>350</v>
      </c>
      <c r="F3512" s="1">
        <v>44305</v>
      </c>
      <c r="G3512" t="s">
        <v>12973</v>
      </c>
      <c r="H3512" t="s">
        <v>806</v>
      </c>
      <c r="J3512">
        <v>729.09375999999997</v>
      </c>
      <c r="L3512" t="s">
        <v>20</v>
      </c>
      <c r="M3512" t="s">
        <v>12974</v>
      </c>
    </row>
    <row r="3513" spans="1:13" x14ac:dyDescent="0.25">
      <c r="A3513">
        <v>7015061</v>
      </c>
      <c r="B3513" t="s">
        <v>12975</v>
      </c>
      <c r="C3513" t="str">
        <f>""</f>
        <v/>
      </c>
      <c r="D3513" t="str">
        <f>"9783111665023"</f>
        <v>9783111665023</v>
      </c>
      <c r="E3513" t="s">
        <v>350</v>
      </c>
      <c r="F3513" s="1">
        <v>22737</v>
      </c>
      <c r="G3513" t="s">
        <v>12976</v>
      </c>
      <c r="H3513" t="s">
        <v>12977</v>
      </c>
      <c r="L3513" t="s">
        <v>291</v>
      </c>
      <c r="M3513" t="s">
        <v>12978</v>
      </c>
    </row>
    <row r="3514" spans="1:13" x14ac:dyDescent="0.25">
      <c r="A3514">
        <v>7015062</v>
      </c>
      <c r="B3514" t="s">
        <v>12979</v>
      </c>
      <c r="C3514" t="str">
        <f>""</f>
        <v/>
      </c>
      <c r="D3514" t="str">
        <f>"9783111621098"</f>
        <v>9783111621098</v>
      </c>
      <c r="E3514" t="s">
        <v>350</v>
      </c>
      <c r="F3514" s="1">
        <v>43497</v>
      </c>
      <c r="G3514" t="s">
        <v>12980</v>
      </c>
      <c r="H3514" t="s">
        <v>712</v>
      </c>
      <c r="L3514" t="s">
        <v>291</v>
      </c>
      <c r="M3514" t="s">
        <v>12981</v>
      </c>
    </row>
    <row r="3515" spans="1:13" x14ac:dyDescent="0.25">
      <c r="A3515">
        <v>7015063</v>
      </c>
      <c r="B3515" t="s">
        <v>12982</v>
      </c>
      <c r="C3515" t="str">
        <f>""</f>
        <v/>
      </c>
      <c r="D3515" t="str">
        <f>"9783110715309"</f>
        <v>9783110715309</v>
      </c>
      <c r="E3515" t="s">
        <v>350</v>
      </c>
      <c r="F3515" s="1">
        <v>44181</v>
      </c>
      <c r="G3515" t="s">
        <v>12983</v>
      </c>
      <c r="H3515" t="s">
        <v>288</v>
      </c>
      <c r="L3515" t="s">
        <v>20</v>
      </c>
      <c r="M3515" t="s">
        <v>12984</v>
      </c>
    </row>
    <row r="3516" spans="1:13" x14ac:dyDescent="0.25">
      <c r="A3516">
        <v>7015064</v>
      </c>
      <c r="B3516" t="s">
        <v>12985</v>
      </c>
      <c r="C3516" t="str">
        <f>"9783110612479"</f>
        <v>9783110612479</v>
      </c>
      <c r="D3516" t="str">
        <f>"9783110615463"</f>
        <v>9783110615463</v>
      </c>
      <c r="E3516" t="s">
        <v>350</v>
      </c>
      <c r="F3516" s="1">
        <v>44081</v>
      </c>
      <c r="G3516" t="s">
        <v>12986</v>
      </c>
      <c r="H3516" t="s">
        <v>64</v>
      </c>
      <c r="J3516" t="s">
        <v>12987</v>
      </c>
      <c r="L3516" t="s">
        <v>291</v>
      </c>
      <c r="M3516" t="s">
        <v>12988</v>
      </c>
    </row>
    <row r="3517" spans="1:13" x14ac:dyDescent="0.25">
      <c r="A3517">
        <v>7015065</v>
      </c>
      <c r="B3517" t="s">
        <v>12989</v>
      </c>
      <c r="C3517" t="str">
        <f>""</f>
        <v/>
      </c>
      <c r="D3517" t="str">
        <f>"9783111352862"</f>
        <v>9783111352862</v>
      </c>
      <c r="E3517" t="s">
        <v>270</v>
      </c>
      <c r="F3517" s="1">
        <v>24198</v>
      </c>
      <c r="G3517" t="s">
        <v>12990</v>
      </c>
      <c r="H3517" t="s">
        <v>851</v>
      </c>
      <c r="L3517" t="s">
        <v>20</v>
      </c>
      <c r="M3517" t="s">
        <v>12991</v>
      </c>
    </row>
    <row r="3518" spans="1:13" x14ac:dyDescent="0.25">
      <c r="A3518">
        <v>7015066</v>
      </c>
      <c r="B3518" t="s">
        <v>12992</v>
      </c>
      <c r="C3518" t="str">
        <f>"9783110557893"</f>
        <v>9783110557893</v>
      </c>
      <c r="D3518" t="str">
        <f>"9783110615746"</f>
        <v>9783110615746</v>
      </c>
      <c r="E3518" t="s">
        <v>350</v>
      </c>
      <c r="F3518" s="1">
        <v>43333</v>
      </c>
      <c r="G3518" t="s">
        <v>12993</v>
      </c>
      <c r="H3518" t="s">
        <v>851</v>
      </c>
      <c r="I3518" t="s">
        <v>12994</v>
      </c>
      <c r="L3518" t="s">
        <v>291</v>
      </c>
      <c r="M3518" t="s">
        <v>12995</v>
      </c>
    </row>
    <row r="3519" spans="1:13" x14ac:dyDescent="0.25">
      <c r="A3519">
        <v>7015067</v>
      </c>
      <c r="B3519" t="s">
        <v>12996</v>
      </c>
      <c r="C3519" t="str">
        <f>"9783111269849"</f>
        <v>9783111269849</v>
      </c>
      <c r="D3519" t="str">
        <f>"9783111653877"</f>
        <v>9783111653877</v>
      </c>
      <c r="E3519" t="s">
        <v>350</v>
      </c>
      <c r="F3519" t="s">
        <v>12997</v>
      </c>
      <c r="G3519" t="s">
        <v>12998</v>
      </c>
      <c r="H3519" t="s">
        <v>139</v>
      </c>
      <c r="L3519" t="s">
        <v>291</v>
      </c>
      <c r="M3519" t="s">
        <v>12999</v>
      </c>
    </row>
    <row r="3520" spans="1:13" x14ac:dyDescent="0.25">
      <c r="A3520">
        <v>7015068</v>
      </c>
      <c r="B3520" t="s">
        <v>13000</v>
      </c>
      <c r="C3520" t="str">
        <f>""</f>
        <v/>
      </c>
      <c r="D3520" t="str">
        <f>"9783110748406"</f>
        <v>9783110748406</v>
      </c>
      <c r="E3520" t="s">
        <v>350</v>
      </c>
      <c r="F3520" s="1">
        <v>44494</v>
      </c>
      <c r="G3520" t="s">
        <v>13001</v>
      </c>
      <c r="H3520" t="s">
        <v>4309</v>
      </c>
      <c r="L3520" t="s">
        <v>291</v>
      </c>
      <c r="M3520" t="s">
        <v>13002</v>
      </c>
    </row>
    <row r="3521" spans="1:13" x14ac:dyDescent="0.25">
      <c r="A3521">
        <v>7015069</v>
      </c>
      <c r="B3521" t="s">
        <v>13003</v>
      </c>
      <c r="C3521" t="str">
        <f>""</f>
        <v/>
      </c>
      <c r="D3521" t="str">
        <f>"9783110682038"</f>
        <v>9783110682038</v>
      </c>
      <c r="E3521" t="s">
        <v>350</v>
      </c>
      <c r="F3521" s="1">
        <v>43990</v>
      </c>
      <c r="G3521" t="s">
        <v>13004</v>
      </c>
      <c r="H3521" t="s">
        <v>139</v>
      </c>
      <c r="J3521" t="s">
        <v>13005</v>
      </c>
      <c r="L3521" t="s">
        <v>291</v>
      </c>
      <c r="M3521" t="s">
        <v>13006</v>
      </c>
    </row>
    <row r="3522" spans="1:13" x14ac:dyDescent="0.25">
      <c r="A3522">
        <v>7015070</v>
      </c>
      <c r="B3522" t="s">
        <v>13007</v>
      </c>
      <c r="C3522" t="str">
        <f>""</f>
        <v/>
      </c>
      <c r="D3522" t="str">
        <f>"9783110709292"</f>
        <v>9783110709292</v>
      </c>
      <c r="E3522" t="s">
        <v>350</v>
      </c>
      <c r="F3522" s="1">
        <v>44494</v>
      </c>
      <c r="G3522" t="s">
        <v>13008</v>
      </c>
      <c r="H3522" t="s">
        <v>16</v>
      </c>
      <c r="J3522">
        <v>121.3</v>
      </c>
      <c r="L3522" t="s">
        <v>20</v>
      </c>
      <c r="M3522" t="s">
        <v>13009</v>
      </c>
    </row>
    <row r="3523" spans="1:13" x14ac:dyDescent="0.25">
      <c r="A3523">
        <v>7015071</v>
      </c>
      <c r="B3523" t="s">
        <v>13010</v>
      </c>
      <c r="C3523" t="str">
        <f>""</f>
        <v/>
      </c>
      <c r="D3523" t="str">
        <f>"9783486777611"</f>
        <v>9783486777611</v>
      </c>
      <c r="E3523" t="s">
        <v>350</v>
      </c>
      <c r="F3523" s="1">
        <v>18354</v>
      </c>
      <c r="G3523" t="s">
        <v>13011</v>
      </c>
      <c r="H3523" t="s">
        <v>139</v>
      </c>
      <c r="L3523" t="s">
        <v>291</v>
      </c>
      <c r="M3523" t="s">
        <v>13012</v>
      </c>
    </row>
    <row r="3524" spans="1:13" x14ac:dyDescent="0.25">
      <c r="A3524">
        <v>7015072</v>
      </c>
      <c r="B3524" t="s">
        <v>13013</v>
      </c>
      <c r="C3524" t="str">
        <f>""</f>
        <v/>
      </c>
      <c r="D3524" t="str">
        <f>"9783110880618"</f>
        <v>9783110880618</v>
      </c>
      <c r="E3524" t="s">
        <v>350</v>
      </c>
      <c r="F3524" s="1">
        <v>33543</v>
      </c>
      <c r="G3524" t="s">
        <v>13014</v>
      </c>
      <c r="H3524" t="s">
        <v>239</v>
      </c>
      <c r="L3524" t="s">
        <v>291</v>
      </c>
      <c r="M3524" t="s">
        <v>13015</v>
      </c>
    </row>
    <row r="3525" spans="1:13" x14ac:dyDescent="0.25">
      <c r="A3525">
        <v>7015073</v>
      </c>
      <c r="B3525" t="s">
        <v>13016</v>
      </c>
      <c r="C3525" t="str">
        <f>""</f>
        <v/>
      </c>
      <c r="D3525" t="str">
        <f>"9783110719031"</f>
        <v>9783110719031</v>
      </c>
      <c r="E3525" t="s">
        <v>350</v>
      </c>
      <c r="F3525" s="1">
        <v>44144</v>
      </c>
      <c r="G3525" t="s">
        <v>13017</v>
      </c>
      <c r="H3525" t="s">
        <v>239</v>
      </c>
      <c r="L3525" t="s">
        <v>291</v>
      </c>
      <c r="M3525" t="s">
        <v>13018</v>
      </c>
    </row>
    <row r="3526" spans="1:13" x14ac:dyDescent="0.25">
      <c r="A3526">
        <v>7015074</v>
      </c>
      <c r="B3526" t="s">
        <v>13019</v>
      </c>
      <c r="C3526" t="str">
        <f>""</f>
        <v/>
      </c>
      <c r="D3526" t="str">
        <f>"9783110624519"</f>
        <v>9783110624519</v>
      </c>
      <c r="E3526" t="s">
        <v>350</v>
      </c>
      <c r="F3526" s="1">
        <v>44116</v>
      </c>
      <c r="G3526" t="s">
        <v>13020</v>
      </c>
      <c r="H3526" t="s">
        <v>7945</v>
      </c>
      <c r="L3526" t="s">
        <v>20</v>
      </c>
      <c r="M3526" t="s">
        <v>13021</v>
      </c>
    </row>
    <row r="3527" spans="1:13" x14ac:dyDescent="0.25">
      <c r="A3527">
        <v>7015075</v>
      </c>
      <c r="B3527" t="s">
        <v>13022</v>
      </c>
      <c r="C3527" t="str">
        <f>""</f>
        <v/>
      </c>
      <c r="D3527" t="str">
        <f>"9783110701234"</f>
        <v>9783110701234</v>
      </c>
      <c r="E3527" t="s">
        <v>350</v>
      </c>
      <c r="F3527" s="1">
        <v>44181</v>
      </c>
      <c r="G3527" t="s">
        <v>13023</v>
      </c>
      <c r="H3527" t="s">
        <v>851</v>
      </c>
      <c r="J3527">
        <v>469.5</v>
      </c>
      <c r="L3527" t="s">
        <v>20</v>
      </c>
      <c r="M3527" t="s">
        <v>13024</v>
      </c>
    </row>
    <row r="3528" spans="1:13" x14ac:dyDescent="0.25">
      <c r="A3528">
        <v>7015076</v>
      </c>
      <c r="B3528" t="s">
        <v>13025</v>
      </c>
      <c r="C3528" t="str">
        <f>""</f>
        <v/>
      </c>
      <c r="D3528" t="str">
        <f>"9783110691597"</f>
        <v>9783110691597</v>
      </c>
      <c r="E3528" t="s">
        <v>350</v>
      </c>
      <c r="F3528" s="1">
        <v>44473</v>
      </c>
      <c r="G3528" t="s">
        <v>13026</v>
      </c>
      <c r="H3528" t="s">
        <v>272</v>
      </c>
      <c r="L3528" t="s">
        <v>291</v>
      </c>
      <c r="M3528" t="s">
        <v>13027</v>
      </c>
    </row>
    <row r="3529" spans="1:13" x14ac:dyDescent="0.25">
      <c r="A3529">
        <v>7015077</v>
      </c>
      <c r="B3529" t="s">
        <v>13028</v>
      </c>
      <c r="C3529" t="str">
        <f>"9783110558838"</f>
        <v>9783110558838</v>
      </c>
      <c r="D3529" t="str">
        <f>"9783110561371"</f>
        <v>9783110561371</v>
      </c>
      <c r="E3529" t="s">
        <v>350</v>
      </c>
      <c r="F3529" s="1">
        <v>43304</v>
      </c>
      <c r="G3529" t="s">
        <v>13029</v>
      </c>
      <c r="H3529" t="s">
        <v>266</v>
      </c>
      <c r="I3529" t="s">
        <v>13030</v>
      </c>
      <c r="L3529" t="s">
        <v>291</v>
      </c>
      <c r="M3529" t="s">
        <v>13031</v>
      </c>
    </row>
    <row r="3530" spans="1:13" x14ac:dyDescent="0.25">
      <c r="A3530">
        <v>7015078</v>
      </c>
      <c r="B3530" t="s">
        <v>13032</v>
      </c>
      <c r="C3530" t="str">
        <f>""</f>
        <v/>
      </c>
      <c r="D3530" t="str">
        <f>"9783110653663"</f>
        <v>9783110653663</v>
      </c>
      <c r="E3530" t="s">
        <v>350</v>
      </c>
      <c r="F3530" s="1">
        <v>43990</v>
      </c>
      <c r="G3530" t="s">
        <v>13033</v>
      </c>
      <c r="H3530" t="s">
        <v>272</v>
      </c>
      <c r="L3530" t="s">
        <v>291</v>
      </c>
      <c r="M3530" t="s">
        <v>13034</v>
      </c>
    </row>
    <row r="3531" spans="1:13" x14ac:dyDescent="0.25">
      <c r="A3531">
        <v>7015079</v>
      </c>
      <c r="B3531" t="s">
        <v>13035</v>
      </c>
      <c r="C3531" t="str">
        <f>""</f>
        <v/>
      </c>
      <c r="D3531" t="str">
        <f>"9783110681710"</f>
        <v>9783110681710</v>
      </c>
      <c r="E3531" t="s">
        <v>350</v>
      </c>
      <c r="F3531" s="1">
        <v>44508</v>
      </c>
      <c r="G3531" t="s">
        <v>13036</v>
      </c>
      <c r="H3531" t="s">
        <v>851</v>
      </c>
      <c r="L3531" t="s">
        <v>291</v>
      </c>
      <c r="M3531" t="s">
        <v>13037</v>
      </c>
    </row>
    <row r="3532" spans="1:13" x14ac:dyDescent="0.25">
      <c r="A3532">
        <v>7015080</v>
      </c>
      <c r="B3532" t="s">
        <v>13038</v>
      </c>
      <c r="C3532" t="str">
        <f>""</f>
        <v/>
      </c>
      <c r="D3532" t="str">
        <f>"9783111580494"</f>
        <v>9783111580494</v>
      </c>
      <c r="E3532" t="s">
        <v>350</v>
      </c>
      <c r="F3532" t="s">
        <v>12557</v>
      </c>
      <c r="G3532" t="s">
        <v>13039</v>
      </c>
      <c r="H3532" t="s">
        <v>139</v>
      </c>
      <c r="L3532" t="s">
        <v>291</v>
      </c>
      <c r="M3532" t="s">
        <v>13040</v>
      </c>
    </row>
    <row r="3533" spans="1:13" x14ac:dyDescent="0.25">
      <c r="A3533">
        <v>7015081</v>
      </c>
      <c r="B3533" t="s">
        <v>13041</v>
      </c>
      <c r="C3533" t="str">
        <f>""</f>
        <v/>
      </c>
      <c r="D3533" t="str">
        <f>"9783110725049"</f>
        <v>9783110725049</v>
      </c>
      <c r="E3533" t="s">
        <v>350</v>
      </c>
      <c r="F3533" s="1">
        <v>44368</v>
      </c>
      <c r="G3533" t="s">
        <v>13042</v>
      </c>
      <c r="H3533" t="s">
        <v>16</v>
      </c>
      <c r="J3533">
        <v>128.4</v>
      </c>
      <c r="L3533" t="s">
        <v>20</v>
      </c>
      <c r="M3533" t="s">
        <v>13043</v>
      </c>
    </row>
    <row r="3534" spans="1:13" x14ac:dyDescent="0.25">
      <c r="A3534">
        <v>7015082</v>
      </c>
      <c r="B3534" t="s">
        <v>13044</v>
      </c>
      <c r="C3534" t="str">
        <f>"9783486562590"</f>
        <v>9783486562590</v>
      </c>
      <c r="D3534" t="str">
        <f>"9783486594379"</f>
        <v>9783486594379</v>
      </c>
      <c r="E3534" t="s">
        <v>350</v>
      </c>
      <c r="F3534" s="1">
        <v>35956</v>
      </c>
      <c r="G3534" t="s">
        <v>13045</v>
      </c>
      <c r="H3534" t="s">
        <v>310</v>
      </c>
      <c r="J3534">
        <v>270.60000000000002</v>
      </c>
      <c r="L3534" t="s">
        <v>291</v>
      </c>
      <c r="M3534" t="s">
        <v>13046</v>
      </c>
    </row>
    <row r="3535" spans="1:13" x14ac:dyDescent="0.25">
      <c r="A3535">
        <v>7015083</v>
      </c>
      <c r="B3535" t="s">
        <v>13047</v>
      </c>
      <c r="C3535" t="str">
        <f>"9783110617573"</f>
        <v>9783110617573</v>
      </c>
      <c r="D3535" t="str">
        <f>"9783110617580"</f>
        <v>9783110617580</v>
      </c>
      <c r="E3535" t="s">
        <v>350</v>
      </c>
      <c r="F3535" s="1">
        <v>43409</v>
      </c>
      <c r="G3535" t="s">
        <v>13048</v>
      </c>
      <c r="H3535" t="s">
        <v>70</v>
      </c>
      <c r="L3535" t="s">
        <v>20</v>
      </c>
      <c r="M3535" t="s">
        <v>13049</v>
      </c>
    </row>
    <row r="3536" spans="1:13" x14ac:dyDescent="0.25">
      <c r="A3536">
        <v>7015084</v>
      </c>
      <c r="B3536" t="s">
        <v>13050</v>
      </c>
      <c r="C3536" t="str">
        <f>""</f>
        <v/>
      </c>
      <c r="D3536" t="str">
        <f>"9783110709834"</f>
        <v>9783110709834</v>
      </c>
      <c r="E3536" t="s">
        <v>350</v>
      </c>
      <c r="F3536" s="1">
        <v>44249</v>
      </c>
      <c r="G3536" t="s">
        <v>13051</v>
      </c>
      <c r="H3536" t="s">
        <v>310</v>
      </c>
      <c r="J3536" t="s">
        <v>13052</v>
      </c>
      <c r="L3536" t="s">
        <v>20</v>
      </c>
      <c r="M3536" t="s">
        <v>13053</v>
      </c>
    </row>
    <row r="3537" spans="1:13" x14ac:dyDescent="0.25">
      <c r="A3537">
        <v>7015085</v>
      </c>
      <c r="B3537" t="s">
        <v>13054</v>
      </c>
      <c r="C3537" t="str">
        <f>""</f>
        <v/>
      </c>
      <c r="D3537" t="str">
        <f>"9783110727630"</f>
        <v>9783110727630</v>
      </c>
      <c r="E3537" t="s">
        <v>350</v>
      </c>
      <c r="F3537" s="1">
        <v>44292</v>
      </c>
      <c r="G3537" t="s">
        <v>13055</v>
      </c>
      <c r="H3537" t="s">
        <v>13056</v>
      </c>
      <c r="L3537" t="s">
        <v>291</v>
      </c>
      <c r="M3537" t="s">
        <v>13057</v>
      </c>
    </row>
    <row r="3538" spans="1:13" x14ac:dyDescent="0.25">
      <c r="A3538">
        <v>7015086</v>
      </c>
      <c r="B3538" t="s">
        <v>13058</v>
      </c>
      <c r="C3538" t="str">
        <f>""</f>
        <v/>
      </c>
      <c r="D3538" t="str">
        <f>"9783486726220"</f>
        <v>9783486726220</v>
      </c>
      <c r="E3538" t="s">
        <v>350</v>
      </c>
      <c r="F3538" s="1">
        <v>4750</v>
      </c>
      <c r="G3538" t="s">
        <v>13059</v>
      </c>
      <c r="H3538" t="s">
        <v>139</v>
      </c>
      <c r="L3538" t="s">
        <v>291</v>
      </c>
      <c r="M3538" t="s">
        <v>13060</v>
      </c>
    </row>
    <row r="3539" spans="1:13" x14ac:dyDescent="0.25">
      <c r="A3539">
        <v>7015087</v>
      </c>
      <c r="B3539" t="s">
        <v>13061</v>
      </c>
      <c r="C3539" t="str">
        <f>""</f>
        <v/>
      </c>
      <c r="D3539" t="str">
        <f>"9783110642032"</f>
        <v>9783110642032</v>
      </c>
      <c r="E3539" t="s">
        <v>350</v>
      </c>
      <c r="F3539" s="1">
        <v>44214</v>
      </c>
      <c r="G3539" t="s">
        <v>13062</v>
      </c>
      <c r="H3539" t="s">
        <v>70</v>
      </c>
      <c r="L3539" t="s">
        <v>20</v>
      </c>
      <c r="M3539" t="s">
        <v>13063</v>
      </c>
    </row>
    <row r="3540" spans="1:13" x14ac:dyDescent="0.25">
      <c r="A3540">
        <v>7015088</v>
      </c>
      <c r="B3540" t="s">
        <v>13064</v>
      </c>
      <c r="C3540" t="str">
        <f>""</f>
        <v/>
      </c>
      <c r="D3540" t="str">
        <f>"9783110693447"</f>
        <v>9783110693447</v>
      </c>
      <c r="E3540" t="s">
        <v>350</v>
      </c>
      <c r="F3540" s="1">
        <v>44095</v>
      </c>
      <c r="G3540" t="s">
        <v>13065</v>
      </c>
      <c r="H3540" t="s">
        <v>272</v>
      </c>
      <c r="L3540" t="s">
        <v>291</v>
      </c>
      <c r="M3540" t="s">
        <v>13066</v>
      </c>
    </row>
    <row r="3541" spans="1:13" x14ac:dyDescent="0.25">
      <c r="A3541">
        <v>7015089</v>
      </c>
      <c r="B3541" t="s">
        <v>13067</v>
      </c>
      <c r="C3541" t="str">
        <f>""</f>
        <v/>
      </c>
      <c r="D3541" t="str">
        <f>"9783486777451"</f>
        <v>9783486777451</v>
      </c>
      <c r="E3541" t="s">
        <v>350</v>
      </c>
      <c r="F3541" s="1">
        <v>17989</v>
      </c>
      <c r="G3541" t="s">
        <v>13068</v>
      </c>
      <c r="H3541" t="s">
        <v>70</v>
      </c>
      <c r="L3541" t="s">
        <v>291</v>
      </c>
      <c r="M3541" t="s">
        <v>13069</v>
      </c>
    </row>
    <row r="3542" spans="1:13" x14ac:dyDescent="0.25">
      <c r="A3542">
        <v>7015090</v>
      </c>
      <c r="B3542" t="s">
        <v>13070</v>
      </c>
      <c r="C3542" t="str">
        <f>""</f>
        <v/>
      </c>
      <c r="D3542" t="str">
        <f>"9783486776270"</f>
        <v>9783486776270</v>
      </c>
      <c r="E3542" t="s">
        <v>350</v>
      </c>
      <c r="F3542" s="1">
        <v>17533</v>
      </c>
      <c r="G3542" t="s">
        <v>13071</v>
      </c>
      <c r="H3542" t="s">
        <v>246</v>
      </c>
      <c r="L3542" t="s">
        <v>291</v>
      </c>
      <c r="M3542" t="s">
        <v>13072</v>
      </c>
    </row>
    <row r="3543" spans="1:13" x14ac:dyDescent="0.25">
      <c r="A3543">
        <v>7015091</v>
      </c>
      <c r="B3543" t="s">
        <v>13073</v>
      </c>
      <c r="C3543" t="str">
        <f>""</f>
        <v/>
      </c>
      <c r="D3543" t="str">
        <f>"9783110727555"</f>
        <v>9783110727555</v>
      </c>
      <c r="E3543" t="s">
        <v>350</v>
      </c>
      <c r="F3543" s="1">
        <v>44355</v>
      </c>
      <c r="G3543" t="s">
        <v>13074</v>
      </c>
      <c r="H3543" t="s">
        <v>70</v>
      </c>
      <c r="L3543" t="s">
        <v>4340</v>
      </c>
      <c r="M3543" t="s">
        <v>13075</v>
      </c>
    </row>
    <row r="3544" spans="1:13" x14ac:dyDescent="0.25">
      <c r="A3544">
        <v>7015092</v>
      </c>
      <c r="B3544" t="s">
        <v>13076</v>
      </c>
      <c r="C3544" t="str">
        <f>""</f>
        <v/>
      </c>
      <c r="D3544" t="str">
        <f>"9783111534589"</f>
        <v>9783111534589</v>
      </c>
      <c r="E3544" t="s">
        <v>350</v>
      </c>
      <c r="F3544" s="1">
        <v>6301</v>
      </c>
      <c r="G3544" t="s">
        <v>13077</v>
      </c>
      <c r="H3544" t="s">
        <v>16</v>
      </c>
      <c r="L3544" t="s">
        <v>291</v>
      </c>
      <c r="M3544" t="s">
        <v>13078</v>
      </c>
    </row>
    <row r="3545" spans="1:13" x14ac:dyDescent="0.25">
      <c r="A3545">
        <v>7015093</v>
      </c>
      <c r="B3545" t="s">
        <v>13079</v>
      </c>
      <c r="C3545" t="str">
        <f>""</f>
        <v/>
      </c>
      <c r="D3545" t="str">
        <f>"9783110671483"</f>
        <v>9783110671483</v>
      </c>
      <c r="E3545" t="s">
        <v>350</v>
      </c>
      <c r="F3545" s="1">
        <v>44396</v>
      </c>
      <c r="G3545" t="s">
        <v>13080</v>
      </c>
      <c r="H3545" t="s">
        <v>16</v>
      </c>
      <c r="J3545">
        <v>181.06</v>
      </c>
      <c r="L3545" t="s">
        <v>20</v>
      </c>
      <c r="M3545" t="s">
        <v>13081</v>
      </c>
    </row>
    <row r="3546" spans="1:13" x14ac:dyDescent="0.25">
      <c r="A3546">
        <v>7015094</v>
      </c>
      <c r="B3546" t="s">
        <v>13082</v>
      </c>
      <c r="C3546" t="str">
        <f>""</f>
        <v/>
      </c>
      <c r="D3546" t="str">
        <f>"9783111342542"</f>
        <v>9783111342542</v>
      </c>
      <c r="E3546" t="s">
        <v>270</v>
      </c>
      <c r="F3546" s="1">
        <v>26390</v>
      </c>
      <c r="G3546" t="s">
        <v>13083</v>
      </c>
      <c r="H3546" t="s">
        <v>13084</v>
      </c>
      <c r="L3546" t="s">
        <v>20</v>
      </c>
      <c r="M3546" t="s">
        <v>13085</v>
      </c>
    </row>
    <row r="3547" spans="1:13" x14ac:dyDescent="0.25">
      <c r="A3547">
        <v>7015095</v>
      </c>
      <c r="B3547" t="s">
        <v>13086</v>
      </c>
      <c r="C3547" t="str">
        <f>""</f>
        <v/>
      </c>
      <c r="D3547" t="str">
        <f>"9783486708608"</f>
        <v>9783486708608</v>
      </c>
      <c r="E3547" t="s">
        <v>350</v>
      </c>
      <c r="F3547" s="1">
        <v>31285</v>
      </c>
      <c r="G3547" t="s">
        <v>13087</v>
      </c>
      <c r="H3547" t="s">
        <v>139</v>
      </c>
      <c r="L3547" t="s">
        <v>291</v>
      </c>
      <c r="M3547" t="s">
        <v>13088</v>
      </c>
    </row>
    <row r="3548" spans="1:13" x14ac:dyDescent="0.25">
      <c r="A3548">
        <v>7015096</v>
      </c>
      <c r="B3548" t="s">
        <v>13089</v>
      </c>
      <c r="C3548" t="str">
        <f>""</f>
        <v/>
      </c>
      <c r="D3548" t="str">
        <f>"9783110753301"</f>
        <v>9783110753301</v>
      </c>
      <c r="E3548" t="s">
        <v>350</v>
      </c>
      <c r="F3548" s="1">
        <v>44494</v>
      </c>
      <c r="G3548" t="s">
        <v>13090</v>
      </c>
      <c r="H3548" t="s">
        <v>70</v>
      </c>
      <c r="L3548" t="s">
        <v>20</v>
      </c>
      <c r="M3548" t="s">
        <v>13091</v>
      </c>
    </row>
    <row r="3549" spans="1:13" x14ac:dyDescent="0.25">
      <c r="A3549">
        <v>7015097</v>
      </c>
      <c r="B3549" t="s">
        <v>13092</v>
      </c>
      <c r="C3549" t="str">
        <f>""</f>
        <v/>
      </c>
      <c r="D3549" t="str">
        <f>"9783486740813"</f>
        <v>9783486740813</v>
      </c>
      <c r="E3549" t="s">
        <v>350</v>
      </c>
      <c r="F3549" s="1">
        <v>43913</v>
      </c>
      <c r="G3549" t="s">
        <v>13093</v>
      </c>
      <c r="H3549" t="s">
        <v>12789</v>
      </c>
      <c r="L3549" t="s">
        <v>291</v>
      </c>
      <c r="M3549" t="s">
        <v>13094</v>
      </c>
    </row>
    <row r="3550" spans="1:13" x14ac:dyDescent="0.25">
      <c r="A3550">
        <v>7015098</v>
      </c>
      <c r="B3550" t="s">
        <v>13095</v>
      </c>
      <c r="C3550" t="str">
        <f>"9783110518085"</f>
        <v>9783110518085</v>
      </c>
      <c r="D3550" t="str">
        <f>"9783110520620"</f>
        <v>9783110520620</v>
      </c>
      <c r="E3550" t="s">
        <v>350</v>
      </c>
      <c r="F3550" s="1">
        <v>43990</v>
      </c>
      <c r="G3550" t="s">
        <v>13096</v>
      </c>
      <c r="H3550" t="s">
        <v>139</v>
      </c>
      <c r="L3550" t="s">
        <v>291</v>
      </c>
      <c r="M3550" t="s">
        <v>13097</v>
      </c>
    </row>
    <row r="3551" spans="1:13" x14ac:dyDescent="0.25">
      <c r="A3551">
        <v>7015099</v>
      </c>
      <c r="B3551" t="s">
        <v>13098</v>
      </c>
      <c r="C3551" t="str">
        <f>""</f>
        <v/>
      </c>
      <c r="D3551" t="str">
        <f>"9783111347455"</f>
        <v>9783111347455</v>
      </c>
      <c r="E3551" t="s">
        <v>350</v>
      </c>
      <c r="F3551" s="1">
        <v>23468</v>
      </c>
      <c r="G3551" t="s">
        <v>13099</v>
      </c>
      <c r="H3551" t="s">
        <v>13100</v>
      </c>
      <c r="L3551" t="s">
        <v>291</v>
      </c>
      <c r="M3551" t="s">
        <v>13101</v>
      </c>
    </row>
    <row r="3552" spans="1:13" x14ac:dyDescent="0.25">
      <c r="A3552">
        <v>7015100</v>
      </c>
      <c r="B3552" t="s">
        <v>13102</v>
      </c>
      <c r="C3552" t="str">
        <f>""</f>
        <v/>
      </c>
      <c r="D3552" t="str">
        <f>"9783110731347"</f>
        <v>9783110731347</v>
      </c>
      <c r="E3552" t="s">
        <v>350</v>
      </c>
      <c r="F3552" s="1">
        <v>44522</v>
      </c>
      <c r="G3552" t="s">
        <v>13103</v>
      </c>
      <c r="H3552" t="s">
        <v>2902</v>
      </c>
      <c r="L3552" t="s">
        <v>291</v>
      </c>
      <c r="M3552" t="s">
        <v>13104</v>
      </c>
    </row>
    <row r="3553" spans="1:13" x14ac:dyDescent="0.25">
      <c r="A3553">
        <v>7015101</v>
      </c>
      <c r="B3553" t="s">
        <v>13105</v>
      </c>
      <c r="C3553" t="str">
        <f>""</f>
        <v/>
      </c>
      <c r="D3553" t="str">
        <f>"9783111447339"</f>
        <v>9783111447339</v>
      </c>
      <c r="E3553" t="s">
        <v>350</v>
      </c>
      <c r="F3553" t="s">
        <v>13106</v>
      </c>
      <c r="G3553" t="s">
        <v>13107</v>
      </c>
      <c r="H3553" t="s">
        <v>13108</v>
      </c>
      <c r="L3553" t="s">
        <v>291</v>
      </c>
      <c r="M3553" t="s">
        <v>13109</v>
      </c>
    </row>
    <row r="3554" spans="1:13" x14ac:dyDescent="0.25">
      <c r="A3554">
        <v>7015102</v>
      </c>
      <c r="B3554" t="s">
        <v>13110</v>
      </c>
      <c r="C3554" t="str">
        <f>""</f>
        <v/>
      </c>
      <c r="D3554" t="str">
        <f>"9783110733549"</f>
        <v>9783110733549</v>
      </c>
      <c r="E3554" t="s">
        <v>350</v>
      </c>
      <c r="F3554" s="1">
        <v>44536</v>
      </c>
      <c r="G3554" t="s">
        <v>13111</v>
      </c>
      <c r="H3554" t="s">
        <v>266</v>
      </c>
      <c r="J3554">
        <v>610.71</v>
      </c>
      <c r="L3554" t="s">
        <v>20</v>
      </c>
      <c r="M3554" t="s">
        <v>13112</v>
      </c>
    </row>
    <row r="3555" spans="1:13" x14ac:dyDescent="0.25">
      <c r="A3555">
        <v>7015103</v>
      </c>
      <c r="B3555" t="s">
        <v>13113</v>
      </c>
      <c r="C3555" t="str">
        <f>""</f>
        <v/>
      </c>
      <c r="D3555" t="str">
        <f>"9783035623802"</f>
        <v>9783035623802</v>
      </c>
      <c r="E3555" t="s">
        <v>350</v>
      </c>
      <c r="F3555" s="1">
        <v>44550</v>
      </c>
      <c r="G3555" t="s">
        <v>13114</v>
      </c>
      <c r="H3555" t="s">
        <v>246</v>
      </c>
      <c r="J3555">
        <v>711.40943613000002</v>
      </c>
      <c r="L3555" t="s">
        <v>291</v>
      </c>
      <c r="M3555" t="s">
        <v>13115</v>
      </c>
    </row>
    <row r="3556" spans="1:13" x14ac:dyDescent="0.25">
      <c r="A3556">
        <v>7015104</v>
      </c>
      <c r="B3556" t="s">
        <v>13116</v>
      </c>
      <c r="C3556" t="str">
        <f>"9783110573657"</f>
        <v>9783110573657</v>
      </c>
      <c r="D3556" t="str">
        <f>"9783110573664"</f>
        <v>9783110573664</v>
      </c>
      <c r="E3556" t="s">
        <v>350</v>
      </c>
      <c r="F3556" s="1">
        <v>43353</v>
      </c>
      <c r="G3556" t="s">
        <v>13117</v>
      </c>
      <c r="H3556" t="s">
        <v>851</v>
      </c>
      <c r="L3556" t="s">
        <v>291</v>
      </c>
      <c r="M3556" t="s">
        <v>13118</v>
      </c>
    </row>
    <row r="3557" spans="1:13" x14ac:dyDescent="0.25">
      <c r="A3557">
        <v>7015105</v>
      </c>
      <c r="B3557" t="s">
        <v>13119</v>
      </c>
      <c r="C3557" t="str">
        <f>""</f>
        <v/>
      </c>
      <c r="D3557" t="str">
        <f>"9783486733631"</f>
        <v>9783486733631</v>
      </c>
      <c r="E3557" t="s">
        <v>350</v>
      </c>
      <c r="F3557" s="1">
        <v>1187</v>
      </c>
      <c r="G3557" t="s">
        <v>13120</v>
      </c>
      <c r="H3557" t="s">
        <v>10052</v>
      </c>
      <c r="L3557" t="s">
        <v>291</v>
      </c>
      <c r="M3557" t="s">
        <v>13121</v>
      </c>
    </row>
    <row r="3558" spans="1:13" x14ac:dyDescent="0.25">
      <c r="A3558">
        <v>7015106</v>
      </c>
      <c r="B3558" t="s">
        <v>13122</v>
      </c>
      <c r="C3558" t="str">
        <f>"9783110596649"</f>
        <v>9783110596649</v>
      </c>
      <c r="D3558" t="str">
        <f>"9783110596755"</f>
        <v>9783110596755</v>
      </c>
      <c r="E3558" t="s">
        <v>350</v>
      </c>
      <c r="F3558" s="1">
        <v>43395</v>
      </c>
      <c r="G3558" t="s">
        <v>13123</v>
      </c>
      <c r="H3558" t="s">
        <v>70</v>
      </c>
      <c r="L3558" t="s">
        <v>4340</v>
      </c>
      <c r="M3558" t="s">
        <v>13124</v>
      </c>
    </row>
    <row r="3559" spans="1:13" x14ac:dyDescent="0.25">
      <c r="A3559">
        <v>7015107</v>
      </c>
      <c r="B3559" t="s">
        <v>13125</v>
      </c>
      <c r="C3559" t="str">
        <f>""</f>
        <v/>
      </c>
      <c r="D3559" t="str">
        <f>"9783110684834"</f>
        <v>9783110684834</v>
      </c>
      <c r="E3559" t="s">
        <v>350</v>
      </c>
      <c r="F3559" s="1">
        <v>44494</v>
      </c>
      <c r="G3559" t="s">
        <v>7969</v>
      </c>
      <c r="H3559" t="s">
        <v>13126</v>
      </c>
      <c r="L3559" t="s">
        <v>20</v>
      </c>
      <c r="M3559" t="s">
        <v>13127</v>
      </c>
    </row>
    <row r="3560" spans="1:13" x14ac:dyDescent="0.25">
      <c r="A3560">
        <v>7015108</v>
      </c>
      <c r="B3560" t="s">
        <v>13128</v>
      </c>
      <c r="C3560" t="str">
        <f>""</f>
        <v/>
      </c>
      <c r="D3560" t="str">
        <f>"9783110664959"</f>
        <v>9783110664959</v>
      </c>
      <c r="E3560" t="s">
        <v>350</v>
      </c>
      <c r="F3560" s="1">
        <v>44028</v>
      </c>
      <c r="G3560" t="s">
        <v>13129</v>
      </c>
      <c r="H3560" t="s">
        <v>780</v>
      </c>
      <c r="L3560" t="s">
        <v>20</v>
      </c>
      <c r="M3560" t="s">
        <v>13130</v>
      </c>
    </row>
    <row r="3561" spans="1:13" x14ac:dyDescent="0.25">
      <c r="A3561">
        <v>7015109</v>
      </c>
      <c r="B3561" t="s">
        <v>13131</v>
      </c>
      <c r="C3561" t="str">
        <f>"9783110584936"</f>
        <v>9783110584936</v>
      </c>
      <c r="D3561" t="str">
        <f>"9783110587524"</f>
        <v>9783110587524</v>
      </c>
      <c r="E3561" t="s">
        <v>350</v>
      </c>
      <c r="F3561" s="1">
        <v>43262</v>
      </c>
      <c r="G3561" t="s">
        <v>13132</v>
      </c>
      <c r="H3561" t="s">
        <v>272</v>
      </c>
      <c r="L3561" t="s">
        <v>291</v>
      </c>
      <c r="M3561" t="s">
        <v>13133</v>
      </c>
    </row>
    <row r="3562" spans="1:13" x14ac:dyDescent="0.25">
      <c r="A3562">
        <v>7015110</v>
      </c>
      <c r="B3562" t="s">
        <v>13134</v>
      </c>
      <c r="C3562" t="str">
        <f>""</f>
        <v/>
      </c>
      <c r="D3562" t="str">
        <f>"9783111451305"</f>
        <v>9783111451305</v>
      </c>
      <c r="E3562" t="s">
        <v>350</v>
      </c>
      <c r="F3562" t="s">
        <v>13135</v>
      </c>
      <c r="G3562" t="s">
        <v>13136</v>
      </c>
      <c r="H3562" t="s">
        <v>1178</v>
      </c>
      <c r="L3562" t="s">
        <v>291</v>
      </c>
      <c r="M3562" t="s">
        <v>13137</v>
      </c>
    </row>
    <row r="3563" spans="1:13" x14ac:dyDescent="0.25">
      <c r="A3563">
        <v>7015111</v>
      </c>
      <c r="B3563" t="s">
        <v>13138</v>
      </c>
      <c r="C3563" t="str">
        <f>"9783110551822"</f>
        <v>9783110551822</v>
      </c>
      <c r="D3563" t="str">
        <f>"9783110553796"</f>
        <v>9783110553796</v>
      </c>
      <c r="E3563" t="s">
        <v>350</v>
      </c>
      <c r="F3563" s="1">
        <v>43262</v>
      </c>
      <c r="G3563" t="s">
        <v>13139</v>
      </c>
      <c r="H3563" t="s">
        <v>272</v>
      </c>
      <c r="L3563" t="s">
        <v>291</v>
      </c>
      <c r="M3563" t="s">
        <v>13140</v>
      </c>
    </row>
    <row r="3564" spans="1:13" x14ac:dyDescent="0.25">
      <c r="A3564">
        <v>7015112</v>
      </c>
      <c r="B3564" t="s">
        <v>13141</v>
      </c>
      <c r="C3564" t="str">
        <f>""</f>
        <v/>
      </c>
      <c r="D3564" t="str">
        <f>"9783111581958"</f>
        <v>9783111581958</v>
      </c>
      <c r="E3564" t="s">
        <v>350</v>
      </c>
      <c r="F3564" s="1">
        <v>26390</v>
      </c>
      <c r="G3564" t="s">
        <v>13142</v>
      </c>
      <c r="H3564" t="s">
        <v>13143</v>
      </c>
      <c r="L3564" t="s">
        <v>291</v>
      </c>
      <c r="M3564" t="s">
        <v>13144</v>
      </c>
    </row>
    <row r="3565" spans="1:13" x14ac:dyDescent="0.25">
      <c r="A3565">
        <v>7015113</v>
      </c>
      <c r="B3565" t="s">
        <v>13145</v>
      </c>
      <c r="C3565" t="str">
        <f>""</f>
        <v/>
      </c>
      <c r="D3565" t="str">
        <f>"9783110661439"</f>
        <v>9783110661439</v>
      </c>
      <c r="E3565" t="s">
        <v>350</v>
      </c>
      <c r="F3565" s="1">
        <v>44459</v>
      </c>
      <c r="G3565" t="s">
        <v>13146</v>
      </c>
      <c r="H3565" t="s">
        <v>13147</v>
      </c>
      <c r="L3565" t="s">
        <v>291</v>
      </c>
      <c r="M3565" t="s">
        <v>13148</v>
      </c>
    </row>
    <row r="3566" spans="1:13" x14ac:dyDescent="0.25">
      <c r="A3566">
        <v>7015114</v>
      </c>
      <c r="B3566" t="s">
        <v>13149</v>
      </c>
      <c r="C3566" t="str">
        <f>""</f>
        <v/>
      </c>
      <c r="D3566" t="str">
        <f>"9783111483801"</f>
        <v>9783111483801</v>
      </c>
      <c r="E3566" t="s">
        <v>350</v>
      </c>
      <c r="F3566" s="1">
        <v>4475</v>
      </c>
      <c r="G3566" t="s">
        <v>13150</v>
      </c>
      <c r="H3566" t="s">
        <v>139</v>
      </c>
      <c r="L3566" t="s">
        <v>291</v>
      </c>
      <c r="M3566" t="s">
        <v>13151</v>
      </c>
    </row>
    <row r="3567" spans="1:13" x14ac:dyDescent="0.25">
      <c r="A3567">
        <v>7015115</v>
      </c>
      <c r="B3567" t="s">
        <v>13152</v>
      </c>
      <c r="C3567" t="str">
        <f>""</f>
        <v/>
      </c>
      <c r="D3567" t="str">
        <f>"9783110729603"</f>
        <v>9783110729603</v>
      </c>
      <c r="E3567" t="s">
        <v>350</v>
      </c>
      <c r="F3567" s="1">
        <v>44410</v>
      </c>
      <c r="G3567" t="s">
        <v>13153</v>
      </c>
      <c r="H3567" t="s">
        <v>1657</v>
      </c>
      <c r="L3567" t="s">
        <v>291</v>
      </c>
      <c r="M3567" t="s">
        <v>13154</v>
      </c>
    </row>
    <row r="3568" spans="1:13" x14ac:dyDescent="0.25">
      <c r="A3568">
        <v>7015116</v>
      </c>
      <c r="B3568" t="s">
        <v>13155</v>
      </c>
      <c r="C3568" t="str">
        <f>""</f>
        <v/>
      </c>
      <c r="D3568" t="str">
        <f>"9781501512971"</f>
        <v>9781501512971</v>
      </c>
      <c r="E3568" t="s">
        <v>270</v>
      </c>
      <c r="F3568" s="1">
        <v>44053</v>
      </c>
      <c r="G3568" t="s">
        <v>3319</v>
      </c>
      <c r="H3568" t="s">
        <v>7882</v>
      </c>
      <c r="L3568" t="s">
        <v>20</v>
      </c>
      <c r="M3568" t="s">
        <v>13156</v>
      </c>
    </row>
    <row r="3569" spans="1:13" x14ac:dyDescent="0.25">
      <c r="A3569">
        <v>7015117</v>
      </c>
      <c r="B3569" t="s">
        <v>13157</v>
      </c>
      <c r="C3569" t="str">
        <f>""</f>
        <v/>
      </c>
      <c r="D3569" t="str">
        <f>"9783110623543"</f>
        <v>9783110623543</v>
      </c>
      <c r="E3569" t="s">
        <v>350</v>
      </c>
      <c r="F3569" s="1">
        <v>44355</v>
      </c>
      <c r="G3569" t="s">
        <v>13158</v>
      </c>
      <c r="H3569" t="s">
        <v>30</v>
      </c>
      <c r="J3569">
        <v>327.60431</v>
      </c>
      <c r="L3569" t="s">
        <v>20</v>
      </c>
      <c r="M3569" t="s">
        <v>13159</v>
      </c>
    </row>
    <row r="3570" spans="1:13" x14ac:dyDescent="0.25">
      <c r="A3570">
        <v>7015118</v>
      </c>
      <c r="B3570" t="s">
        <v>13160</v>
      </c>
      <c r="C3570" t="str">
        <f>""</f>
        <v/>
      </c>
      <c r="D3570" t="str">
        <f>"9783486743753"</f>
        <v>9783486743753</v>
      </c>
      <c r="E3570" t="s">
        <v>350</v>
      </c>
      <c r="F3570" s="1">
        <v>5570</v>
      </c>
      <c r="G3570" t="s">
        <v>13161</v>
      </c>
      <c r="H3570" t="s">
        <v>3973</v>
      </c>
      <c r="L3570" t="s">
        <v>291</v>
      </c>
      <c r="M3570" t="s">
        <v>13162</v>
      </c>
    </row>
    <row r="3571" spans="1:13" x14ac:dyDescent="0.25">
      <c r="A3571">
        <v>7015119</v>
      </c>
      <c r="B3571" t="s">
        <v>13163</v>
      </c>
      <c r="C3571" t="str">
        <f>""</f>
        <v/>
      </c>
      <c r="D3571" t="str">
        <f>"9783110622768"</f>
        <v>9783110622768</v>
      </c>
      <c r="E3571" t="s">
        <v>350</v>
      </c>
      <c r="F3571" s="1">
        <v>38040</v>
      </c>
      <c r="G3571" t="s">
        <v>13164</v>
      </c>
      <c r="H3571" t="s">
        <v>851</v>
      </c>
      <c r="L3571" t="s">
        <v>291</v>
      </c>
      <c r="M3571" t="s">
        <v>13165</v>
      </c>
    </row>
    <row r="3572" spans="1:13" x14ac:dyDescent="0.25">
      <c r="A3572">
        <v>7015120</v>
      </c>
      <c r="B3572" t="s">
        <v>13166</v>
      </c>
      <c r="C3572" t="str">
        <f>""</f>
        <v/>
      </c>
      <c r="D3572" t="str">
        <f>"9783110726268"</f>
        <v>9783110726268</v>
      </c>
      <c r="E3572" t="s">
        <v>350</v>
      </c>
      <c r="F3572" s="1">
        <v>44305</v>
      </c>
      <c r="G3572" t="s">
        <v>13167</v>
      </c>
      <c r="H3572" t="s">
        <v>851</v>
      </c>
      <c r="L3572" t="s">
        <v>291</v>
      </c>
      <c r="M3572" t="s">
        <v>13168</v>
      </c>
    </row>
    <row r="3573" spans="1:13" x14ac:dyDescent="0.25">
      <c r="A3573">
        <v>7015121</v>
      </c>
      <c r="B3573" t="s">
        <v>13169</v>
      </c>
      <c r="C3573" t="str">
        <f>""</f>
        <v/>
      </c>
      <c r="D3573" t="str">
        <f>"9783110683868"</f>
        <v>9783110683868</v>
      </c>
      <c r="E3573" t="s">
        <v>350</v>
      </c>
      <c r="F3573" s="1">
        <v>44536</v>
      </c>
      <c r="G3573" t="s">
        <v>13170</v>
      </c>
      <c r="H3573" t="s">
        <v>310</v>
      </c>
      <c r="L3573" t="s">
        <v>291</v>
      </c>
      <c r="M3573" t="s">
        <v>13171</v>
      </c>
    </row>
    <row r="3574" spans="1:13" x14ac:dyDescent="0.25">
      <c r="A3574">
        <v>7015122</v>
      </c>
      <c r="B3574" t="s">
        <v>13172</v>
      </c>
      <c r="C3574" t="str">
        <f>""</f>
        <v/>
      </c>
      <c r="D3574" t="str">
        <f>"9783111505695"</f>
        <v>9783111505695</v>
      </c>
      <c r="E3574" t="s">
        <v>350</v>
      </c>
      <c r="F3574" t="s">
        <v>13173</v>
      </c>
      <c r="G3574" t="s">
        <v>12628</v>
      </c>
      <c r="H3574" t="s">
        <v>266</v>
      </c>
      <c r="L3574" t="s">
        <v>291</v>
      </c>
      <c r="M3574" t="s">
        <v>13174</v>
      </c>
    </row>
    <row r="3575" spans="1:13" x14ac:dyDescent="0.25">
      <c r="A3575">
        <v>7015123</v>
      </c>
      <c r="B3575" t="s">
        <v>13175</v>
      </c>
      <c r="C3575" t="str">
        <f>""</f>
        <v/>
      </c>
      <c r="D3575" t="str">
        <f>"9783486730111"</f>
        <v>9783486730111</v>
      </c>
      <c r="E3575" t="s">
        <v>350</v>
      </c>
      <c r="F3575" s="1">
        <v>43308</v>
      </c>
      <c r="G3575" t="s">
        <v>13176</v>
      </c>
      <c r="H3575" t="s">
        <v>139</v>
      </c>
      <c r="L3575" t="s">
        <v>291</v>
      </c>
      <c r="M3575" t="s">
        <v>13177</v>
      </c>
    </row>
    <row r="3576" spans="1:13" x14ac:dyDescent="0.25">
      <c r="A3576">
        <v>7015124</v>
      </c>
      <c r="B3576" t="s">
        <v>13178</v>
      </c>
      <c r="C3576" t="str">
        <f>"9783486560831"</f>
        <v>9783486560831</v>
      </c>
      <c r="D3576" t="str">
        <f>"9783486595789"</f>
        <v>9783486595789</v>
      </c>
      <c r="E3576" t="s">
        <v>350</v>
      </c>
      <c r="F3576" s="1">
        <v>35102</v>
      </c>
      <c r="G3576" t="s">
        <v>13179</v>
      </c>
      <c r="H3576" t="s">
        <v>139</v>
      </c>
      <c r="L3576" t="s">
        <v>291</v>
      </c>
      <c r="M3576" t="s">
        <v>13180</v>
      </c>
    </row>
    <row r="3577" spans="1:13" x14ac:dyDescent="0.25">
      <c r="A3577">
        <v>7015125</v>
      </c>
      <c r="B3577" t="s">
        <v>13181</v>
      </c>
      <c r="C3577" t="str">
        <f>""</f>
        <v/>
      </c>
      <c r="D3577" t="str">
        <f>"9783035623086"</f>
        <v>9783035623086</v>
      </c>
      <c r="E3577" t="s">
        <v>350</v>
      </c>
      <c r="F3577" s="1">
        <v>44316</v>
      </c>
      <c r="G3577" t="s">
        <v>13182</v>
      </c>
      <c r="H3577" t="s">
        <v>246</v>
      </c>
      <c r="L3577" t="s">
        <v>291</v>
      </c>
      <c r="M3577" t="s">
        <v>13183</v>
      </c>
    </row>
    <row r="3578" spans="1:13" x14ac:dyDescent="0.25">
      <c r="A3578">
        <v>7015126</v>
      </c>
      <c r="B3578" t="s">
        <v>13184</v>
      </c>
      <c r="C3578" t="str">
        <f>""</f>
        <v/>
      </c>
      <c r="D3578" t="str">
        <f>"9783110729115"</f>
        <v>9783110729115</v>
      </c>
      <c r="E3578" t="s">
        <v>350</v>
      </c>
      <c r="F3578" s="1">
        <v>44292</v>
      </c>
      <c r="G3578" t="s">
        <v>13185</v>
      </c>
      <c r="H3578" t="s">
        <v>70</v>
      </c>
      <c r="L3578" t="s">
        <v>291</v>
      </c>
      <c r="M3578" t="s">
        <v>13186</v>
      </c>
    </row>
    <row r="3579" spans="1:13" x14ac:dyDescent="0.25">
      <c r="A3579">
        <v>7015127</v>
      </c>
      <c r="B3579" t="s">
        <v>13187</v>
      </c>
      <c r="C3579" t="str">
        <f>""</f>
        <v/>
      </c>
      <c r="D3579" t="str">
        <f>"9783110727838"</f>
        <v>9783110727838</v>
      </c>
      <c r="E3579" t="s">
        <v>350</v>
      </c>
      <c r="F3579" s="1">
        <v>44522</v>
      </c>
      <c r="G3579" t="s">
        <v>13188</v>
      </c>
      <c r="H3579" t="s">
        <v>851</v>
      </c>
      <c r="L3579" t="s">
        <v>291</v>
      </c>
      <c r="M3579" t="s">
        <v>13189</v>
      </c>
    </row>
    <row r="3580" spans="1:13" x14ac:dyDescent="0.25">
      <c r="A3580">
        <v>7015128</v>
      </c>
      <c r="B3580" t="s">
        <v>13190</v>
      </c>
      <c r="C3580" t="str">
        <f>""</f>
        <v/>
      </c>
      <c r="D3580" t="str">
        <f>"9783111373027"</f>
        <v>9783111373027</v>
      </c>
      <c r="E3580" t="s">
        <v>350</v>
      </c>
      <c r="F3580" s="1">
        <v>43466</v>
      </c>
      <c r="G3580" t="s">
        <v>13191</v>
      </c>
      <c r="H3580" t="s">
        <v>310</v>
      </c>
      <c r="L3580" t="s">
        <v>12884</v>
      </c>
      <c r="M3580" t="s">
        <v>13192</v>
      </c>
    </row>
    <row r="3581" spans="1:13" x14ac:dyDescent="0.25">
      <c r="A3581">
        <v>7015129</v>
      </c>
      <c r="B3581" t="s">
        <v>13193</v>
      </c>
      <c r="C3581" t="str">
        <f>"9783110595277"</f>
        <v>9783110595277</v>
      </c>
      <c r="D3581" t="str">
        <f>"9783110597745"</f>
        <v>9783110597745</v>
      </c>
      <c r="E3581" t="s">
        <v>350</v>
      </c>
      <c r="F3581" s="1">
        <v>44032</v>
      </c>
      <c r="G3581" t="s">
        <v>13194</v>
      </c>
      <c r="H3581" t="s">
        <v>3047</v>
      </c>
      <c r="L3581" t="s">
        <v>20</v>
      </c>
      <c r="M3581" t="s">
        <v>13195</v>
      </c>
    </row>
    <row r="3582" spans="1:13" x14ac:dyDescent="0.25">
      <c r="A3582">
        <v>7015130</v>
      </c>
      <c r="B3582" t="s">
        <v>13196</v>
      </c>
      <c r="C3582" t="str">
        <f>""</f>
        <v/>
      </c>
      <c r="D3582" t="str">
        <f>"9783111667836"</f>
        <v>9783111667836</v>
      </c>
      <c r="E3582" t="s">
        <v>350</v>
      </c>
      <c r="F3582" s="1">
        <v>20546</v>
      </c>
      <c r="G3582" t="s">
        <v>13197</v>
      </c>
      <c r="H3582" t="s">
        <v>2293</v>
      </c>
      <c r="L3582" t="s">
        <v>291</v>
      </c>
      <c r="M3582" t="s">
        <v>13198</v>
      </c>
    </row>
    <row r="3583" spans="1:13" x14ac:dyDescent="0.25">
      <c r="A3583">
        <v>7015131</v>
      </c>
      <c r="B3583" t="s">
        <v>13199</v>
      </c>
      <c r="C3583" t="str">
        <f>""</f>
        <v/>
      </c>
      <c r="D3583" t="str">
        <f>"9783110725018"</f>
        <v>9783110725018</v>
      </c>
      <c r="E3583" t="s">
        <v>350</v>
      </c>
      <c r="F3583" s="1">
        <v>44508</v>
      </c>
      <c r="G3583" t="s">
        <v>13200</v>
      </c>
      <c r="H3583" t="s">
        <v>851</v>
      </c>
      <c r="J3583">
        <v>415.6</v>
      </c>
      <c r="L3583" t="s">
        <v>20</v>
      </c>
      <c r="M3583" t="s">
        <v>13201</v>
      </c>
    </row>
    <row r="3584" spans="1:13" x14ac:dyDescent="0.25">
      <c r="A3584">
        <v>7015133</v>
      </c>
      <c r="B3584" t="s">
        <v>13202</v>
      </c>
      <c r="C3584" t="str">
        <f>""</f>
        <v/>
      </c>
      <c r="D3584" t="str">
        <f>"9783110717884"</f>
        <v>9783110717884</v>
      </c>
      <c r="E3584" t="s">
        <v>350</v>
      </c>
      <c r="F3584" s="1">
        <v>44172</v>
      </c>
      <c r="G3584" t="s">
        <v>13203</v>
      </c>
      <c r="H3584" t="s">
        <v>1562</v>
      </c>
      <c r="L3584" t="s">
        <v>20</v>
      </c>
      <c r="M3584" t="s">
        <v>13204</v>
      </c>
    </row>
    <row r="3585" spans="1:13" x14ac:dyDescent="0.25">
      <c r="A3585">
        <v>7015134</v>
      </c>
      <c r="B3585" t="s">
        <v>13205</v>
      </c>
      <c r="C3585" t="str">
        <f>"9783110585384"</f>
        <v>9783110585384</v>
      </c>
      <c r="D3585" t="str">
        <f>"9783110587678"</f>
        <v>9783110587678</v>
      </c>
      <c r="E3585" t="s">
        <v>350</v>
      </c>
      <c r="F3585" s="1">
        <v>43437</v>
      </c>
      <c r="G3585" t="s">
        <v>13206</v>
      </c>
      <c r="H3585" t="s">
        <v>139</v>
      </c>
      <c r="L3585" t="s">
        <v>291</v>
      </c>
      <c r="M3585" t="s">
        <v>13207</v>
      </c>
    </row>
    <row r="3586" spans="1:13" x14ac:dyDescent="0.25">
      <c r="A3586">
        <v>7015135</v>
      </c>
      <c r="B3586" t="s">
        <v>13208</v>
      </c>
      <c r="C3586" t="str">
        <f>""</f>
        <v/>
      </c>
      <c r="D3586" t="str">
        <f>"9783110701364"</f>
        <v>9783110701364</v>
      </c>
      <c r="E3586" t="s">
        <v>350</v>
      </c>
      <c r="F3586" s="1">
        <v>44396</v>
      </c>
      <c r="G3586" t="s">
        <v>13209</v>
      </c>
      <c r="H3586" t="s">
        <v>851</v>
      </c>
      <c r="L3586" t="s">
        <v>4340</v>
      </c>
      <c r="M3586" t="s">
        <v>13210</v>
      </c>
    </row>
    <row r="3587" spans="1:13" x14ac:dyDescent="0.25">
      <c r="A3587">
        <v>7015136</v>
      </c>
      <c r="B3587" t="s">
        <v>13211</v>
      </c>
      <c r="C3587" t="str">
        <f>"9783486543513"</f>
        <v>9783486543513</v>
      </c>
      <c r="D3587" t="str">
        <f>"9783486595536"</f>
        <v>9783486595536</v>
      </c>
      <c r="E3587" t="s">
        <v>350</v>
      </c>
      <c r="F3587" s="1">
        <v>32443</v>
      </c>
      <c r="G3587" t="s">
        <v>13212</v>
      </c>
      <c r="H3587" t="s">
        <v>139</v>
      </c>
      <c r="L3587" t="s">
        <v>291</v>
      </c>
      <c r="M3587" t="s">
        <v>13213</v>
      </c>
    </row>
    <row r="3588" spans="1:13" x14ac:dyDescent="0.25">
      <c r="A3588">
        <v>7015137</v>
      </c>
      <c r="B3588" t="s">
        <v>13214</v>
      </c>
      <c r="C3588" t="str">
        <f>""</f>
        <v/>
      </c>
      <c r="D3588" t="str">
        <f>"9783110679410"</f>
        <v>9783110679410</v>
      </c>
      <c r="E3588" t="s">
        <v>350</v>
      </c>
      <c r="F3588" s="1">
        <v>44522</v>
      </c>
      <c r="G3588" t="s">
        <v>8065</v>
      </c>
      <c r="H3588" t="s">
        <v>363</v>
      </c>
      <c r="J3588">
        <v>370.92</v>
      </c>
      <c r="L3588" t="s">
        <v>20</v>
      </c>
      <c r="M3588" t="s">
        <v>13215</v>
      </c>
    </row>
    <row r="3589" spans="1:13" x14ac:dyDescent="0.25">
      <c r="A3589">
        <v>7015138</v>
      </c>
      <c r="B3589" t="s">
        <v>13216</v>
      </c>
      <c r="C3589" t="str">
        <f>""</f>
        <v/>
      </c>
      <c r="D3589" t="str">
        <f>"9783110732764"</f>
        <v>9783110732764</v>
      </c>
      <c r="E3589" t="s">
        <v>350</v>
      </c>
      <c r="F3589" s="1">
        <v>44459</v>
      </c>
      <c r="G3589" t="s">
        <v>13217</v>
      </c>
      <c r="H3589" t="s">
        <v>101</v>
      </c>
      <c r="L3589" t="s">
        <v>291</v>
      </c>
      <c r="M3589" t="s">
        <v>13218</v>
      </c>
    </row>
    <row r="3590" spans="1:13" x14ac:dyDescent="0.25">
      <c r="A3590">
        <v>7015139</v>
      </c>
      <c r="B3590" t="s">
        <v>13219</v>
      </c>
      <c r="C3590" t="str">
        <f>""</f>
        <v/>
      </c>
      <c r="D3590" t="str">
        <f>"9783110700145"</f>
        <v>9783110700145</v>
      </c>
      <c r="E3590" t="s">
        <v>350</v>
      </c>
      <c r="F3590" s="1">
        <v>44277</v>
      </c>
      <c r="G3590" t="s">
        <v>13220</v>
      </c>
      <c r="H3590" t="s">
        <v>3973</v>
      </c>
      <c r="L3590" t="s">
        <v>291</v>
      </c>
      <c r="M3590" t="s">
        <v>13221</v>
      </c>
    </row>
    <row r="3591" spans="1:13" x14ac:dyDescent="0.25">
      <c r="A3591">
        <v>7015140</v>
      </c>
      <c r="B3591" t="s">
        <v>13222</v>
      </c>
      <c r="C3591" t="str">
        <f>""</f>
        <v/>
      </c>
      <c r="D3591" t="str">
        <f>"9783110622485"</f>
        <v>9783110622485</v>
      </c>
      <c r="E3591" t="s">
        <v>350</v>
      </c>
      <c r="F3591" s="1">
        <v>43494</v>
      </c>
      <c r="G3591" t="s">
        <v>13223</v>
      </c>
      <c r="H3591" t="s">
        <v>851</v>
      </c>
      <c r="L3591" t="s">
        <v>291</v>
      </c>
      <c r="M3591" t="s">
        <v>13224</v>
      </c>
    </row>
    <row r="3592" spans="1:13" x14ac:dyDescent="0.25">
      <c r="A3592">
        <v>7015141</v>
      </c>
      <c r="B3592" t="s">
        <v>13225</v>
      </c>
      <c r="C3592" t="str">
        <f>""</f>
        <v/>
      </c>
      <c r="D3592" t="str">
        <f>"9783111727431"</f>
        <v>9783111727431</v>
      </c>
      <c r="E3592" t="s">
        <v>270</v>
      </c>
      <c r="F3592" s="1">
        <v>27120</v>
      </c>
      <c r="G3592" t="s">
        <v>13226</v>
      </c>
      <c r="H3592" t="s">
        <v>851</v>
      </c>
      <c r="L3592" t="s">
        <v>1279</v>
      </c>
      <c r="M3592" t="s">
        <v>13227</v>
      </c>
    </row>
    <row r="3593" spans="1:13" x14ac:dyDescent="0.25">
      <c r="A3593">
        <v>7015142</v>
      </c>
      <c r="B3593" t="s">
        <v>13228</v>
      </c>
      <c r="C3593" t="str">
        <f>""</f>
        <v/>
      </c>
      <c r="D3593" t="str">
        <f>"9783486750836"</f>
        <v>9783486750836</v>
      </c>
      <c r="E3593" t="s">
        <v>350</v>
      </c>
      <c r="F3593" s="1">
        <v>9133</v>
      </c>
      <c r="G3593" t="s">
        <v>13229</v>
      </c>
      <c r="H3593" t="s">
        <v>70</v>
      </c>
      <c r="L3593" t="s">
        <v>291</v>
      </c>
      <c r="M3593" t="s">
        <v>13230</v>
      </c>
    </row>
    <row r="3594" spans="1:13" x14ac:dyDescent="0.25">
      <c r="A3594">
        <v>7015143</v>
      </c>
      <c r="B3594" t="s">
        <v>13231</v>
      </c>
      <c r="C3594" t="str">
        <f>""</f>
        <v/>
      </c>
      <c r="D3594" t="str">
        <f>"9783110622560"</f>
        <v>9783110622560</v>
      </c>
      <c r="E3594" t="s">
        <v>350</v>
      </c>
      <c r="F3594" s="1">
        <v>43494</v>
      </c>
      <c r="G3594" t="s">
        <v>12441</v>
      </c>
      <c r="H3594" t="s">
        <v>851</v>
      </c>
      <c r="L3594" t="s">
        <v>291</v>
      </c>
      <c r="M3594" t="s">
        <v>13232</v>
      </c>
    </row>
    <row r="3595" spans="1:13" x14ac:dyDescent="0.25">
      <c r="A3595">
        <v>7015144</v>
      </c>
      <c r="B3595" t="s">
        <v>13233</v>
      </c>
      <c r="C3595" t="str">
        <f>""</f>
        <v/>
      </c>
      <c r="D3595" t="str">
        <f>"9783486741766"</f>
        <v>9783486741766</v>
      </c>
      <c r="E3595" t="s">
        <v>350</v>
      </c>
      <c r="F3595" s="1">
        <v>4750</v>
      </c>
      <c r="G3595" t="s">
        <v>13234</v>
      </c>
      <c r="H3595" t="s">
        <v>139</v>
      </c>
      <c r="L3595" t="s">
        <v>291</v>
      </c>
      <c r="M3595" t="s">
        <v>13235</v>
      </c>
    </row>
    <row r="3596" spans="1:13" x14ac:dyDescent="0.25">
      <c r="A3596">
        <v>7015145</v>
      </c>
      <c r="B3596" t="s">
        <v>13236</v>
      </c>
      <c r="C3596" t="str">
        <f>""</f>
        <v/>
      </c>
      <c r="D3596" t="str">
        <f>"9783110710595"</f>
        <v>9783110710595</v>
      </c>
      <c r="E3596" t="s">
        <v>350</v>
      </c>
      <c r="F3596" s="1">
        <v>44263</v>
      </c>
      <c r="G3596" t="s">
        <v>13237</v>
      </c>
      <c r="H3596" t="s">
        <v>851</v>
      </c>
      <c r="L3596" t="s">
        <v>291</v>
      </c>
      <c r="M3596" t="s">
        <v>13238</v>
      </c>
    </row>
    <row r="3597" spans="1:13" x14ac:dyDescent="0.25">
      <c r="A3597">
        <v>7015146</v>
      </c>
      <c r="B3597" t="s">
        <v>13239</v>
      </c>
      <c r="C3597" t="str">
        <f>""</f>
        <v/>
      </c>
      <c r="D3597" t="str">
        <f>"9783110726572"</f>
        <v>9783110726572</v>
      </c>
      <c r="E3597" t="s">
        <v>350</v>
      </c>
      <c r="F3597" s="1">
        <v>44172</v>
      </c>
      <c r="G3597" t="s">
        <v>3106</v>
      </c>
      <c r="H3597" t="s">
        <v>101</v>
      </c>
      <c r="L3597" t="s">
        <v>20</v>
      </c>
      <c r="M3597" t="s">
        <v>13240</v>
      </c>
    </row>
    <row r="3598" spans="1:13" x14ac:dyDescent="0.25">
      <c r="A3598">
        <v>7015147</v>
      </c>
      <c r="B3598" t="s">
        <v>13241</v>
      </c>
      <c r="C3598" t="str">
        <f>""</f>
        <v/>
      </c>
      <c r="D3598" t="str">
        <f>"9783111465012"</f>
        <v>9783111465012</v>
      </c>
      <c r="E3598" t="s">
        <v>350</v>
      </c>
      <c r="F3598" s="1">
        <v>43647</v>
      </c>
      <c r="G3598" t="s">
        <v>13242</v>
      </c>
      <c r="H3598" t="s">
        <v>2293</v>
      </c>
      <c r="L3598" t="s">
        <v>291</v>
      </c>
      <c r="M3598" t="s">
        <v>13243</v>
      </c>
    </row>
    <row r="3599" spans="1:13" x14ac:dyDescent="0.25">
      <c r="A3599">
        <v>7015148</v>
      </c>
      <c r="B3599" t="s">
        <v>13244</v>
      </c>
      <c r="C3599" t="str">
        <f>"9783110619454"</f>
        <v>9783110619454</v>
      </c>
      <c r="D3599" t="str">
        <f>"9783110619928"</f>
        <v>9783110619928</v>
      </c>
      <c r="E3599" t="s">
        <v>350</v>
      </c>
      <c r="F3599" s="1">
        <v>43451</v>
      </c>
      <c r="G3599" t="s">
        <v>13245</v>
      </c>
      <c r="H3599" t="s">
        <v>1137</v>
      </c>
      <c r="L3599" t="s">
        <v>291</v>
      </c>
      <c r="M3599" t="s">
        <v>13246</v>
      </c>
    </row>
    <row r="3600" spans="1:13" x14ac:dyDescent="0.25">
      <c r="A3600">
        <v>7015149</v>
      </c>
      <c r="B3600" t="s">
        <v>13247</v>
      </c>
      <c r="C3600" t="str">
        <f>""</f>
        <v/>
      </c>
      <c r="D3600" t="str">
        <f>"9783111460871"</f>
        <v>9783111460871</v>
      </c>
      <c r="E3600" t="s">
        <v>350</v>
      </c>
      <c r="F3600" s="1">
        <v>43739</v>
      </c>
      <c r="G3600" t="s">
        <v>13248</v>
      </c>
      <c r="H3600" t="s">
        <v>310</v>
      </c>
      <c r="L3600" t="s">
        <v>291</v>
      </c>
      <c r="M3600" t="s">
        <v>13249</v>
      </c>
    </row>
    <row r="3601" spans="1:13" x14ac:dyDescent="0.25">
      <c r="A3601">
        <v>7015150</v>
      </c>
      <c r="B3601" t="s">
        <v>13250</v>
      </c>
      <c r="C3601" t="str">
        <f>""</f>
        <v/>
      </c>
      <c r="D3601" t="str">
        <f>"9783486754476"</f>
        <v>9783486754476</v>
      </c>
      <c r="E3601" t="s">
        <v>350</v>
      </c>
      <c r="F3601" s="1">
        <v>9863</v>
      </c>
      <c r="G3601" t="s">
        <v>13251</v>
      </c>
      <c r="H3601" t="s">
        <v>12789</v>
      </c>
      <c r="L3601" t="s">
        <v>291</v>
      </c>
      <c r="M3601" t="s">
        <v>13252</v>
      </c>
    </row>
    <row r="3602" spans="1:13" x14ac:dyDescent="0.25">
      <c r="A3602">
        <v>7015151</v>
      </c>
      <c r="B3602" t="s">
        <v>13253</v>
      </c>
      <c r="C3602" t="str">
        <f>""</f>
        <v/>
      </c>
      <c r="D3602" t="str">
        <f>"9783110724127"</f>
        <v>9783110724127</v>
      </c>
      <c r="E3602" t="s">
        <v>350</v>
      </c>
      <c r="F3602" s="1">
        <v>44522</v>
      </c>
      <c r="G3602" t="s">
        <v>13254</v>
      </c>
      <c r="H3602" t="s">
        <v>1223</v>
      </c>
      <c r="L3602" t="s">
        <v>291</v>
      </c>
      <c r="M3602" t="s">
        <v>13255</v>
      </c>
    </row>
    <row r="3603" spans="1:13" x14ac:dyDescent="0.25">
      <c r="A3603">
        <v>7015152</v>
      </c>
      <c r="B3603" t="s">
        <v>13256</v>
      </c>
      <c r="C3603" t="str">
        <f>""</f>
        <v/>
      </c>
      <c r="D3603" t="str">
        <f>"9783110720297"</f>
        <v>9783110720297</v>
      </c>
      <c r="E3603" t="s">
        <v>350</v>
      </c>
      <c r="F3603" s="1">
        <v>42628</v>
      </c>
      <c r="G3603" t="s">
        <v>13257</v>
      </c>
      <c r="H3603" t="s">
        <v>851</v>
      </c>
      <c r="L3603" t="s">
        <v>20</v>
      </c>
      <c r="M3603" t="s">
        <v>13258</v>
      </c>
    </row>
    <row r="3604" spans="1:13" x14ac:dyDescent="0.25">
      <c r="A3604">
        <v>7015153</v>
      </c>
      <c r="B3604" t="s">
        <v>13259</v>
      </c>
      <c r="C3604" t="str">
        <f>""</f>
        <v/>
      </c>
      <c r="D3604" t="str">
        <f>"9783110714357"</f>
        <v>9783110714357</v>
      </c>
      <c r="E3604" t="s">
        <v>350</v>
      </c>
      <c r="F3604" s="1">
        <v>44446</v>
      </c>
      <c r="G3604" t="s">
        <v>13260</v>
      </c>
      <c r="H3604" t="s">
        <v>3047</v>
      </c>
      <c r="L3604" t="s">
        <v>291</v>
      </c>
      <c r="M3604" t="s">
        <v>13261</v>
      </c>
    </row>
    <row r="3605" spans="1:13" x14ac:dyDescent="0.25">
      <c r="A3605">
        <v>7015154</v>
      </c>
      <c r="B3605" t="s">
        <v>13262</v>
      </c>
      <c r="C3605" t="str">
        <f>""</f>
        <v/>
      </c>
      <c r="D3605" t="str">
        <f>"9783110641998"</f>
        <v>9783110641998</v>
      </c>
      <c r="E3605" t="s">
        <v>350</v>
      </c>
      <c r="F3605" s="1">
        <v>44095</v>
      </c>
      <c r="G3605" t="s">
        <v>13263</v>
      </c>
      <c r="H3605" t="s">
        <v>70</v>
      </c>
      <c r="L3605" t="s">
        <v>20</v>
      </c>
      <c r="M3605" t="s">
        <v>13264</v>
      </c>
    </row>
    <row r="3606" spans="1:13" x14ac:dyDescent="0.25">
      <c r="A3606">
        <v>7015155</v>
      </c>
      <c r="B3606" t="s">
        <v>13265</v>
      </c>
      <c r="C3606" t="str">
        <f>"9783486518412"</f>
        <v>9783486518412</v>
      </c>
      <c r="D3606" t="str">
        <f>"9783486594164"</f>
        <v>9783486594164</v>
      </c>
      <c r="E3606" t="s">
        <v>350</v>
      </c>
      <c r="F3606" s="1">
        <v>30644</v>
      </c>
      <c r="G3606" t="s">
        <v>13266</v>
      </c>
      <c r="H3606" t="s">
        <v>139</v>
      </c>
      <c r="J3606" t="s">
        <v>13267</v>
      </c>
      <c r="L3606" t="s">
        <v>291</v>
      </c>
      <c r="M3606" t="s">
        <v>13268</v>
      </c>
    </row>
    <row r="3607" spans="1:13" x14ac:dyDescent="0.25">
      <c r="A3607">
        <v>7015156</v>
      </c>
      <c r="B3607" t="s">
        <v>13269</v>
      </c>
      <c r="C3607" t="str">
        <f>""</f>
        <v/>
      </c>
      <c r="D3607" t="str">
        <f>"9783110622478"</f>
        <v>9783110622478</v>
      </c>
      <c r="E3607" t="s">
        <v>350</v>
      </c>
      <c r="F3607" s="1">
        <v>43494</v>
      </c>
      <c r="G3607" t="s">
        <v>13270</v>
      </c>
      <c r="H3607" t="s">
        <v>851</v>
      </c>
      <c r="L3607" t="s">
        <v>291</v>
      </c>
      <c r="M3607" t="s">
        <v>13271</v>
      </c>
    </row>
    <row r="3608" spans="1:13" x14ac:dyDescent="0.25">
      <c r="A3608">
        <v>7015157</v>
      </c>
      <c r="B3608" t="s">
        <v>13272</v>
      </c>
      <c r="C3608" t="str">
        <f>""</f>
        <v/>
      </c>
      <c r="D3608" t="str">
        <f>"9783035623079"</f>
        <v>9783035623079</v>
      </c>
      <c r="E3608" t="s">
        <v>350</v>
      </c>
      <c r="F3608" s="1">
        <v>44382</v>
      </c>
      <c r="G3608" t="s">
        <v>13182</v>
      </c>
      <c r="H3608" t="s">
        <v>712</v>
      </c>
      <c r="J3608">
        <v>6.75</v>
      </c>
      <c r="L3608" t="s">
        <v>20</v>
      </c>
      <c r="M3608" t="s">
        <v>13273</v>
      </c>
    </row>
    <row r="3609" spans="1:13" x14ac:dyDescent="0.25">
      <c r="A3609">
        <v>7015158</v>
      </c>
      <c r="B3609" t="s">
        <v>13274</v>
      </c>
      <c r="C3609" t="str">
        <f>""</f>
        <v/>
      </c>
      <c r="D3609" t="str">
        <f>"9783110720082"</f>
        <v>9783110720082</v>
      </c>
      <c r="E3609" t="s">
        <v>350</v>
      </c>
      <c r="F3609" s="1">
        <v>41841</v>
      </c>
      <c r="G3609" t="s">
        <v>13275</v>
      </c>
      <c r="H3609" t="s">
        <v>851</v>
      </c>
      <c r="L3609" t="s">
        <v>20</v>
      </c>
      <c r="M3609" t="s">
        <v>13276</v>
      </c>
    </row>
    <row r="3610" spans="1:13" x14ac:dyDescent="0.25">
      <c r="A3610">
        <v>7015159</v>
      </c>
      <c r="B3610" t="s">
        <v>13277</v>
      </c>
      <c r="C3610" t="str">
        <f>""</f>
        <v/>
      </c>
      <c r="D3610" t="str">
        <f>"9783110681017"</f>
        <v>9783110681017</v>
      </c>
      <c r="E3610" t="s">
        <v>350</v>
      </c>
      <c r="F3610" s="1">
        <v>44158</v>
      </c>
      <c r="G3610" t="s">
        <v>13278</v>
      </c>
      <c r="H3610" t="s">
        <v>139</v>
      </c>
      <c r="J3610">
        <v>963</v>
      </c>
      <c r="L3610" t="s">
        <v>20</v>
      </c>
      <c r="M3610" t="s">
        <v>13279</v>
      </c>
    </row>
    <row r="3611" spans="1:13" x14ac:dyDescent="0.25">
      <c r="A3611">
        <v>7015160</v>
      </c>
      <c r="B3611" t="s">
        <v>13280</v>
      </c>
      <c r="C3611" t="str">
        <f>"9783110598308"</f>
        <v>9783110598308</v>
      </c>
      <c r="D3611" t="str">
        <f>"9783110600261"</f>
        <v>9783110600261</v>
      </c>
      <c r="E3611" t="s">
        <v>350</v>
      </c>
      <c r="F3611" s="1">
        <v>43451</v>
      </c>
      <c r="G3611" t="s">
        <v>13281</v>
      </c>
      <c r="H3611" t="s">
        <v>2742</v>
      </c>
      <c r="L3611" t="s">
        <v>291</v>
      </c>
      <c r="M3611" t="s">
        <v>13282</v>
      </c>
    </row>
    <row r="3612" spans="1:13" x14ac:dyDescent="0.25">
      <c r="A3612">
        <v>7015161</v>
      </c>
      <c r="B3612" t="s">
        <v>13283</v>
      </c>
      <c r="C3612" t="str">
        <f>""</f>
        <v/>
      </c>
      <c r="D3612" t="str">
        <f>"9783111403748"</f>
        <v>9783111403748</v>
      </c>
      <c r="E3612" t="s">
        <v>350</v>
      </c>
      <c r="F3612" s="1">
        <v>5570</v>
      </c>
      <c r="G3612" t="s">
        <v>13284</v>
      </c>
      <c r="H3612" t="s">
        <v>70</v>
      </c>
      <c r="L3612" t="s">
        <v>291</v>
      </c>
      <c r="M3612" t="s">
        <v>13285</v>
      </c>
    </row>
    <row r="3613" spans="1:13" x14ac:dyDescent="0.25">
      <c r="A3613">
        <v>7015162</v>
      </c>
      <c r="B3613" t="s">
        <v>13286</v>
      </c>
      <c r="C3613" t="str">
        <f>""</f>
        <v/>
      </c>
      <c r="D3613" t="str">
        <f>"9783110707540"</f>
        <v>9783110707540</v>
      </c>
      <c r="E3613" t="s">
        <v>350</v>
      </c>
      <c r="F3613" s="1">
        <v>44473</v>
      </c>
      <c r="G3613" t="s">
        <v>13287</v>
      </c>
      <c r="H3613" t="s">
        <v>851</v>
      </c>
      <c r="L3613" t="s">
        <v>1279</v>
      </c>
      <c r="M3613" t="s">
        <v>13288</v>
      </c>
    </row>
    <row r="3614" spans="1:13" x14ac:dyDescent="0.25">
      <c r="A3614">
        <v>7015163</v>
      </c>
      <c r="B3614" t="s">
        <v>13289</v>
      </c>
      <c r="C3614" t="str">
        <f>""</f>
        <v/>
      </c>
      <c r="D3614" t="str">
        <f>"9783111480916"</f>
        <v>9783111480916</v>
      </c>
      <c r="E3614" t="s">
        <v>350</v>
      </c>
      <c r="F3614" s="1">
        <v>1553</v>
      </c>
      <c r="G3614" t="s">
        <v>13290</v>
      </c>
      <c r="H3614" t="s">
        <v>7945</v>
      </c>
      <c r="L3614" t="s">
        <v>291</v>
      </c>
      <c r="M3614" t="s">
        <v>13291</v>
      </c>
    </row>
    <row r="3615" spans="1:13" x14ac:dyDescent="0.25">
      <c r="A3615">
        <v>7015164</v>
      </c>
      <c r="B3615" t="s">
        <v>13292</v>
      </c>
      <c r="C3615" t="str">
        <f>""</f>
        <v/>
      </c>
      <c r="D3615" t="str">
        <f>"9783110676631"</f>
        <v>9783110676631</v>
      </c>
      <c r="E3615" t="s">
        <v>350</v>
      </c>
      <c r="F3615" s="1">
        <v>43871</v>
      </c>
      <c r="G3615" t="s">
        <v>13293</v>
      </c>
      <c r="H3615" t="s">
        <v>4413</v>
      </c>
      <c r="L3615" t="s">
        <v>291</v>
      </c>
      <c r="M3615" t="s">
        <v>13294</v>
      </c>
    </row>
    <row r="3616" spans="1:13" x14ac:dyDescent="0.25">
      <c r="A3616">
        <v>7015165</v>
      </c>
      <c r="B3616" t="s">
        <v>13295</v>
      </c>
      <c r="C3616" t="str">
        <f>""</f>
        <v/>
      </c>
      <c r="D3616" t="str">
        <f>"9783110890709"</f>
        <v>9783110890709</v>
      </c>
      <c r="E3616" t="s">
        <v>350</v>
      </c>
      <c r="F3616" s="1">
        <v>35884</v>
      </c>
      <c r="G3616" t="s">
        <v>13296</v>
      </c>
      <c r="H3616" t="s">
        <v>239</v>
      </c>
      <c r="L3616" t="s">
        <v>291</v>
      </c>
      <c r="M3616" t="s">
        <v>13297</v>
      </c>
    </row>
    <row r="3617" spans="1:13" x14ac:dyDescent="0.25">
      <c r="A3617">
        <v>7015166</v>
      </c>
      <c r="B3617" t="s">
        <v>13298</v>
      </c>
      <c r="C3617" t="str">
        <f>""</f>
        <v/>
      </c>
      <c r="D3617" t="str">
        <f>"9783110498967"</f>
        <v>9783110498967</v>
      </c>
      <c r="E3617" t="s">
        <v>350</v>
      </c>
      <c r="F3617" s="1">
        <v>44508</v>
      </c>
      <c r="G3617" t="s">
        <v>7735</v>
      </c>
      <c r="H3617" t="s">
        <v>1178</v>
      </c>
      <c r="J3617">
        <v>515.35299999999995</v>
      </c>
      <c r="L3617" t="s">
        <v>20</v>
      </c>
      <c r="M3617" t="s">
        <v>13299</v>
      </c>
    </row>
    <row r="3618" spans="1:13" x14ac:dyDescent="0.25">
      <c r="A3618">
        <v>7015167</v>
      </c>
      <c r="B3618" t="s">
        <v>13300</v>
      </c>
      <c r="C3618" t="str">
        <f>"9783111115214"</f>
        <v>9783111115214</v>
      </c>
      <c r="D3618" t="str">
        <f>"9783111482026"</f>
        <v>9783111482026</v>
      </c>
      <c r="E3618" t="s">
        <v>350</v>
      </c>
      <c r="F3618" t="s">
        <v>13301</v>
      </c>
      <c r="G3618" t="s">
        <v>13302</v>
      </c>
      <c r="H3618" t="s">
        <v>16</v>
      </c>
      <c r="L3618" t="s">
        <v>291</v>
      </c>
      <c r="M3618" t="s">
        <v>13303</v>
      </c>
    </row>
    <row r="3619" spans="1:13" x14ac:dyDescent="0.25">
      <c r="A3619">
        <v>7015168</v>
      </c>
      <c r="B3619" t="s">
        <v>13304</v>
      </c>
      <c r="C3619" t="str">
        <f>""</f>
        <v/>
      </c>
      <c r="D3619" t="str">
        <f>"9783110736274"</f>
        <v>9783110736274</v>
      </c>
      <c r="E3619" t="s">
        <v>350</v>
      </c>
      <c r="F3619" s="1">
        <v>44396</v>
      </c>
      <c r="G3619" t="s">
        <v>13305</v>
      </c>
      <c r="H3619" t="s">
        <v>70</v>
      </c>
      <c r="L3619" t="s">
        <v>4340</v>
      </c>
      <c r="M3619" t="s">
        <v>13306</v>
      </c>
    </row>
    <row r="3620" spans="1:13" x14ac:dyDescent="0.25">
      <c r="A3620">
        <v>7015169</v>
      </c>
      <c r="B3620" t="s">
        <v>13307</v>
      </c>
      <c r="C3620" t="str">
        <f>""</f>
        <v/>
      </c>
      <c r="D3620" t="str">
        <f>"9783110721621"</f>
        <v>9783110721621</v>
      </c>
      <c r="E3620" t="s">
        <v>350</v>
      </c>
      <c r="F3620" s="1">
        <v>44382</v>
      </c>
      <c r="G3620" t="s">
        <v>13308</v>
      </c>
      <c r="H3620" t="s">
        <v>266</v>
      </c>
      <c r="L3620" t="s">
        <v>20</v>
      </c>
      <c r="M3620" t="s">
        <v>13309</v>
      </c>
    </row>
    <row r="3621" spans="1:13" x14ac:dyDescent="0.25">
      <c r="A3621">
        <v>7015170</v>
      </c>
      <c r="B3621" t="s">
        <v>13310</v>
      </c>
      <c r="C3621" t="str">
        <f>""</f>
        <v/>
      </c>
      <c r="D3621" t="str">
        <f>"9783110682106"</f>
        <v>9783110682106</v>
      </c>
      <c r="E3621" t="s">
        <v>350</v>
      </c>
      <c r="F3621" s="1">
        <v>44473</v>
      </c>
      <c r="G3621" t="s">
        <v>13311</v>
      </c>
      <c r="H3621" t="s">
        <v>5236</v>
      </c>
      <c r="J3621">
        <v>902.85467800000004</v>
      </c>
      <c r="L3621" t="s">
        <v>20</v>
      </c>
      <c r="M3621" t="s">
        <v>13312</v>
      </c>
    </row>
    <row r="3622" spans="1:13" x14ac:dyDescent="0.25">
      <c r="A3622">
        <v>7015171</v>
      </c>
      <c r="B3622" t="s">
        <v>13313</v>
      </c>
      <c r="C3622" t="str">
        <f>""</f>
        <v/>
      </c>
      <c r="D3622" t="str">
        <f>"9783111460017"</f>
        <v>9783111460017</v>
      </c>
      <c r="E3622" t="s">
        <v>350</v>
      </c>
      <c r="F3622" s="1">
        <v>2283</v>
      </c>
      <c r="G3622" t="s">
        <v>13314</v>
      </c>
      <c r="H3622" t="s">
        <v>139</v>
      </c>
      <c r="L3622" t="s">
        <v>291</v>
      </c>
      <c r="M3622" t="s">
        <v>13315</v>
      </c>
    </row>
    <row r="3623" spans="1:13" x14ac:dyDescent="0.25">
      <c r="A3623">
        <v>7015172</v>
      </c>
      <c r="B3623" t="s">
        <v>13316</v>
      </c>
      <c r="C3623" t="str">
        <f>""</f>
        <v/>
      </c>
      <c r="D3623" t="str">
        <f>"9783110722826"</f>
        <v>9783110722826</v>
      </c>
      <c r="E3623" t="s">
        <v>350</v>
      </c>
      <c r="F3623" s="1">
        <v>44263</v>
      </c>
      <c r="G3623" t="s">
        <v>13317</v>
      </c>
      <c r="H3623" t="s">
        <v>101</v>
      </c>
      <c r="L3623" t="s">
        <v>291</v>
      </c>
      <c r="M3623" t="s">
        <v>13318</v>
      </c>
    </row>
    <row r="3624" spans="1:13" x14ac:dyDescent="0.25">
      <c r="A3624">
        <v>7015173</v>
      </c>
      <c r="B3624" t="s">
        <v>13319</v>
      </c>
      <c r="C3624" t="str">
        <f>""</f>
        <v/>
      </c>
      <c r="D3624" t="str">
        <f>"9783111502793"</f>
        <v>9783111502793</v>
      </c>
      <c r="E3624" t="s">
        <v>350</v>
      </c>
      <c r="F3624" s="1">
        <v>21641</v>
      </c>
      <c r="G3624" t="s">
        <v>13320</v>
      </c>
      <c r="H3624" t="s">
        <v>266</v>
      </c>
      <c r="L3624" t="s">
        <v>291</v>
      </c>
      <c r="M3624" t="s">
        <v>13321</v>
      </c>
    </row>
    <row r="3625" spans="1:13" x14ac:dyDescent="0.25">
      <c r="A3625">
        <v>7015174</v>
      </c>
      <c r="B3625" t="s">
        <v>13322</v>
      </c>
      <c r="C3625" t="str">
        <f>"9783110604269"</f>
        <v>9783110604269</v>
      </c>
      <c r="D3625" t="str">
        <f>"9783110604276"</f>
        <v>9783110604276</v>
      </c>
      <c r="E3625" t="s">
        <v>350</v>
      </c>
      <c r="F3625" s="1">
        <v>43437</v>
      </c>
      <c r="G3625" t="s">
        <v>13323</v>
      </c>
      <c r="H3625" t="s">
        <v>246</v>
      </c>
      <c r="J3625">
        <v>792.09400000000005</v>
      </c>
      <c r="L3625" t="s">
        <v>20</v>
      </c>
      <c r="M3625" t="s">
        <v>13324</v>
      </c>
    </row>
    <row r="3626" spans="1:13" x14ac:dyDescent="0.25">
      <c r="A3626">
        <v>7015175</v>
      </c>
      <c r="B3626" t="s">
        <v>13325</v>
      </c>
      <c r="C3626" t="str">
        <f>""</f>
        <v/>
      </c>
      <c r="D3626" t="str">
        <f>"9783110622515"</f>
        <v>9783110622515</v>
      </c>
      <c r="E3626" t="s">
        <v>350</v>
      </c>
      <c r="F3626" s="1">
        <v>34775</v>
      </c>
      <c r="G3626" t="s">
        <v>12441</v>
      </c>
      <c r="H3626" t="s">
        <v>851</v>
      </c>
      <c r="L3626" t="s">
        <v>291</v>
      </c>
      <c r="M3626" t="s">
        <v>13326</v>
      </c>
    </row>
    <row r="3627" spans="1:13" x14ac:dyDescent="0.25">
      <c r="A3627">
        <v>7015176</v>
      </c>
      <c r="B3627" t="s">
        <v>13327</v>
      </c>
      <c r="C3627" t="str">
        <f>""</f>
        <v/>
      </c>
      <c r="D3627" t="str">
        <f>"9783111727066"</f>
        <v>9783111727066</v>
      </c>
      <c r="E3627" t="s">
        <v>350</v>
      </c>
      <c r="F3627" t="s">
        <v>13328</v>
      </c>
      <c r="G3627" t="s">
        <v>13329</v>
      </c>
      <c r="H3627" t="s">
        <v>139</v>
      </c>
      <c r="L3627" t="s">
        <v>291</v>
      </c>
      <c r="M3627" t="s">
        <v>13330</v>
      </c>
    </row>
    <row r="3628" spans="1:13" x14ac:dyDescent="0.25">
      <c r="A3628">
        <v>7015177</v>
      </c>
      <c r="B3628" t="s">
        <v>13331</v>
      </c>
      <c r="C3628" t="str">
        <f>""</f>
        <v/>
      </c>
      <c r="D3628" t="str">
        <f>"9783110661255"</f>
        <v>9783110661255</v>
      </c>
      <c r="E3628" t="s">
        <v>350</v>
      </c>
      <c r="F3628" s="1">
        <v>44431</v>
      </c>
      <c r="G3628" t="s">
        <v>13332</v>
      </c>
      <c r="H3628" t="s">
        <v>851</v>
      </c>
      <c r="L3628" t="s">
        <v>291</v>
      </c>
      <c r="M3628" t="s">
        <v>13333</v>
      </c>
    </row>
    <row r="3629" spans="1:13" x14ac:dyDescent="0.25">
      <c r="A3629">
        <v>7015178</v>
      </c>
      <c r="B3629" t="s">
        <v>13334</v>
      </c>
      <c r="C3629" t="str">
        <f>""</f>
        <v/>
      </c>
      <c r="D3629" t="str">
        <f>"9783110900668"</f>
        <v>9783110900668</v>
      </c>
      <c r="E3629" t="s">
        <v>350</v>
      </c>
      <c r="F3629" s="1">
        <v>38551</v>
      </c>
      <c r="G3629" t="s">
        <v>13335</v>
      </c>
      <c r="H3629" t="s">
        <v>239</v>
      </c>
      <c r="L3629" t="s">
        <v>291</v>
      </c>
      <c r="M3629" t="s">
        <v>13336</v>
      </c>
    </row>
    <row r="3630" spans="1:13" x14ac:dyDescent="0.25">
      <c r="A3630">
        <v>7015179</v>
      </c>
      <c r="B3630" t="s">
        <v>13337</v>
      </c>
      <c r="C3630" t="str">
        <f>""</f>
        <v/>
      </c>
      <c r="D3630" t="str">
        <f>"9783035620801"</f>
        <v>9783035620801</v>
      </c>
      <c r="E3630" t="s">
        <v>350</v>
      </c>
      <c r="F3630" s="1">
        <v>44235</v>
      </c>
      <c r="G3630" t="s">
        <v>13338</v>
      </c>
      <c r="H3630" t="s">
        <v>806</v>
      </c>
      <c r="L3630" t="s">
        <v>20</v>
      </c>
      <c r="M3630" t="s">
        <v>13339</v>
      </c>
    </row>
    <row r="3631" spans="1:13" x14ac:dyDescent="0.25">
      <c r="A3631">
        <v>7015180</v>
      </c>
      <c r="B3631" t="s">
        <v>13340</v>
      </c>
      <c r="C3631" t="str">
        <f>""</f>
        <v/>
      </c>
      <c r="D3631" t="str">
        <f>"9783486770575"</f>
        <v>9783486770575</v>
      </c>
      <c r="E3631" t="s">
        <v>350</v>
      </c>
      <c r="F3631" s="1">
        <v>28216</v>
      </c>
      <c r="G3631" t="s">
        <v>13341</v>
      </c>
      <c r="H3631" t="s">
        <v>139</v>
      </c>
      <c r="L3631" t="s">
        <v>291</v>
      </c>
      <c r="M3631" t="s">
        <v>13342</v>
      </c>
    </row>
    <row r="3632" spans="1:13" x14ac:dyDescent="0.25">
      <c r="A3632">
        <v>7015181</v>
      </c>
      <c r="B3632" t="s">
        <v>13343</v>
      </c>
      <c r="C3632" t="str">
        <f>""</f>
        <v/>
      </c>
      <c r="D3632" t="str">
        <f>"9783111509709"</f>
        <v>9783111509709</v>
      </c>
      <c r="E3632" t="s">
        <v>350</v>
      </c>
      <c r="F3632" s="1">
        <v>43525</v>
      </c>
      <c r="G3632" t="s">
        <v>13344</v>
      </c>
      <c r="H3632" t="s">
        <v>266</v>
      </c>
      <c r="L3632" t="s">
        <v>291</v>
      </c>
      <c r="M3632" t="s">
        <v>13345</v>
      </c>
    </row>
    <row r="3633" spans="1:13" x14ac:dyDescent="0.25">
      <c r="A3633">
        <v>7015182</v>
      </c>
      <c r="B3633" t="s">
        <v>13346</v>
      </c>
      <c r="C3633" t="str">
        <f>"9783110601626"</f>
        <v>9783110601626</v>
      </c>
      <c r="D3633" t="str">
        <f>"9783110604337"</f>
        <v>9783110604337</v>
      </c>
      <c r="E3633" t="s">
        <v>350</v>
      </c>
      <c r="F3633" s="1">
        <v>43304</v>
      </c>
      <c r="G3633" t="s">
        <v>13347</v>
      </c>
      <c r="H3633" t="s">
        <v>288</v>
      </c>
      <c r="L3633" t="s">
        <v>291</v>
      </c>
      <c r="M3633" t="s">
        <v>13348</v>
      </c>
    </row>
    <row r="3634" spans="1:13" x14ac:dyDescent="0.25">
      <c r="A3634">
        <v>7015183</v>
      </c>
      <c r="B3634" t="s">
        <v>13349</v>
      </c>
      <c r="C3634" t="str">
        <f>""</f>
        <v/>
      </c>
      <c r="D3634" t="str">
        <f>"9783110878592"</f>
        <v>9783110878592</v>
      </c>
      <c r="E3634" t="s">
        <v>270</v>
      </c>
      <c r="F3634" s="1">
        <v>27395</v>
      </c>
      <c r="G3634" t="s">
        <v>13350</v>
      </c>
      <c r="H3634" t="s">
        <v>70</v>
      </c>
      <c r="L3634" t="s">
        <v>20</v>
      </c>
      <c r="M3634" t="s">
        <v>13351</v>
      </c>
    </row>
    <row r="3635" spans="1:13" x14ac:dyDescent="0.25">
      <c r="A3635">
        <v>7015184</v>
      </c>
      <c r="B3635" t="s">
        <v>13352</v>
      </c>
      <c r="C3635" t="str">
        <f>""</f>
        <v/>
      </c>
      <c r="D3635" t="str">
        <f>"9783111698212"</f>
        <v>9783111698212</v>
      </c>
      <c r="E3635" t="s">
        <v>270</v>
      </c>
      <c r="F3635" t="s">
        <v>13353</v>
      </c>
      <c r="G3635" t="s">
        <v>13354</v>
      </c>
      <c r="H3635" t="s">
        <v>1657</v>
      </c>
      <c r="L3635" t="s">
        <v>291</v>
      </c>
      <c r="M3635" t="s">
        <v>13355</v>
      </c>
    </row>
    <row r="3636" spans="1:13" x14ac:dyDescent="0.25">
      <c r="A3636">
        <v>7015185</v>
      </c>
      <c r="B3636" t="s">
        <v>13356</v>
      </c>
      <c r="C3636" t="str">
        <f>""</f>
        <v/>
      </c>
      <c r="D3636" t="str">
        <f>"9783111646213"</f>
        <v>9783111646213</v>
      </c>
      <c r="E3636" t="s">
        <v>350</v>
      </c>
      <c r="F3636" s="1">
        <v>6301</v>
      </c>
      <c r="G3636" t="s">
        <v>13357</v>
      </c>
      <c r="H3636" t="s">
        <v>310</v>
      </c>
      <c r="L3636" t="s">
        <v>291</v>
      </c>
      <c r="M3636" t="s">
        <v>13358</v>
      </c>
    </row>
    <row r="3637" spans="1:13" x14ac:dyDescent="0.25">
      <c r="A3637">
        <v>7015186</v>
      </c>
      <c r="B3637" t="s">
        <v>13359</v>
      </c>
      <c r="C3637" t="str">
        <f>""</f>
        <v/>
      </c>
      <c r="D3637" t="str">
        <f>"9783110622652"</f>
        <v>9783110622652</v>
      </c>
      <c r="E3637" t="s">
        <v>350</v>
      </c>
      <c r="F3637" s="1">
        <v>36661</v>
      </c>
      <c r="G3637" t="s">
        <v>13360</v>
      </c>
      <c r="H3637" t="s">
        <v>851</v>
      </c>
      <c r="L3637" t="s">
        <v>291</v>
      </c>
      <c r="M3637" t="s">
        <v>13361</v>
      </c>
    </row>
    <row r="3638" spans="1:13" x14ac:dyDescent="0.25">
      <c r="A3638">
        <v>7015187</v>
      </c>
      <c r="B3638" t="s">
        <v>13362</v>
      </c>
      <c r="C3638" t="str">
        <f>""</f>
        <v/>
      </c>
      <c r="D3638" t="str">
        <f>"9783110590647"</f>
        <v>9783110590647</v>
      </c>
      <c r="E3638" t="s">
        <v>350</v>
      </c>
      <c r="F3638" s="1">
        <v>44522</v>
      </c>
      <c r="G3638" t="s">
        <v>13363</v>
      </c>
      <c r="H3638" t="s">
        <v>70</v>
      </c>
      <c r="J3638">
        <v>851.1</v>
      </c>
      <c r="L3638" t="s">
        <v>1213</v>
      </c>
      <c r="M3638" t="s">
        <v>13364</v>
      </c>
    </row>
    <row r="3639" spans="1:13" x14ac:dyDescent="0.25">
      <c r="A3639">
        <v>7015188</v>
      </c>
      <c r="B3639" t="s">
        <v>13365</v>
      </c>
      <c r="C3639" t="str">
        <f>""</f>
        <v/>
      </c>
      <c r="D3639" t="str">
        <f>"9783111485133"</f>
        <v>9783111485133</v>
      </c>
      <c r="E3639" t="s">
        <v>350</v>
      </c>
      <c r="F3639" t="s">
        <v>13366</v>
      </c>
      <c r="G3639" t="s">
        <v>13367</v>
      </c>
      <c r="H3639" t="s">
        <v>139</v>
      </c>
      <c r="L3639" t="s">
        <v>291</v>
      </c>
      <c r="M3639" t="s">
        <v>13368</v>
      </c>
    </row>
    <row r="3640" spans="1:13" x14ac:dyDescent="0.25">
      <c r="A3640">
        <v>7015189</v>
      </c>
      <c r="B3640" t="s">
        <v>13369</v>
      </c>
      <c r="C3640" t="str">
        <f>""</f>
        <v/>
      </c>
      <c r="D3640" t="str">
        <f>"9783110725612"</f>
        <v>9783110725612</v>
      </c>
      <c r="E3640" t="s">
        <v>350</v>
      </c>
      <c r="F3640" s="1">
        <v>44396</v>
      </c>
      <c r="G3640" t="s">
        <v>13370</v>
      </c>
      <c r="H3640" t="s">
        <v>5236</v>
      </c>
      <c r="J3640" t="s">
        <v>13371</v>
      </c>
      <c r="L3640" t="s">
        <v>20</v>
      </c>
      <c r="M3640" t="s">
        <v>13372</v>
      </c>
    </row>
    <row r="3641" spans="1:13" x14ac:dyDescent="0.25">
      <c r="A3641">
        <v>7015190</v>
      </c>
      <c r="B3641" t="s">
        <v>13373</v>
      </c>
      <c r="C3641" t="str">
        <f>""</f>
        <v/>
      </c>
      <c r="D3641" t="str">
        <f>"9783110657807"</f>
        <v>9783110657807</v>
      </c>
      <c r="E3641" t="s">
        <v>350</v>
      </c>
      <c r="F3641" s="1">
        <v>44214</v>
      </c>
      <c r="G3641" t="s">
        <v>13374</v>
      </c>
      <c r="H3641" t="s">
        <v>272</v>
      </c>
      <c r="L3641" t="s">
        <v>291</v>
      </c>
      <c r="M3641" t="s">
        <v>13375</v>
      </c>
    </row>
    <row r="3642" spans="1:13" x14ac:dyDescent="0.25">
      <c r="A3642">
        <v>7015191</v>
      </c>
      <c r="B3642" t="s">
        <v>13376</v>
      </c>
      <c r="C3642" t="str">
        <f>"9783486558982"</f>
        <v>9783486558982</v>
      </c>
      <c r="D3642" t="str">
        <f>"9783486594201"</f>
        <v>9783486594201</v>
      </c>
      <c r="E3642" t="s">
        <v>350</v>
      </c>
      <c r="F3642" s="1">
        <v>33687</v>
      </c>
      <c r="G3642" t="s">
        <v>13377</v>
      </c>
      <c r="H3642" t="s">
        <v>139</v>
      </c>
      <c r="L3642" t="s">
        <v>291</v>
      </c>
      <c r="M3642" t="s">
        <v>13378</v>
      </c>
    </row>
    <row r="3643" spans="1:13" x14ac:dyDescent="0.25">
      <c r="A3643">
        <v>7015192</v>
      </c>
      <c r="B3643" t="s">
        <v>13379</v>
      </c>
      <c r="C3643" t="str">
        <f>""</f>
        <v/>
      </c>
      <c r="D3643" t="str">
        <f>"9783110709872"</f>
        <v>9783110709872</v>
      </c>
      <c r="E3643" t="s">
        <v>350</v>
      </c>
      <c r="F3643" s="1">
        <v>44095</v>
      </c>
      <c r="G3643" t="s">
        <v>13380</v>
      </c>
      <c r="H3643" t="s">
        <v>239</v>
      </c>
      <c r="L3643" t="s">
        <v>291</v>
      </c>
      <c r="M3643" t="s">
        <v>13381</v>
      </c>
    </row>
    <row r="3644" spans="1:13" x14ac:dyDescent="0.25">
      <c r="A3644">
        <v>7015193</v>
      </c>
      <c r="B3644" t="s">
        <v>13382</v>
      </c>
      <c r="C3644" t="str">
        <f>""</f>
        <v/>
      </c>
      <c r="D3644" t="str">
        <f>"9783110720105"</f>
        <v>9783110720105</v>
      </c>
      <c r="E3644" t="s">
        <v>350</v>
      </c>
      <c r="F3644" s="1">
        <v>44384</v>
      </c>
      <c r="G3644" t="s">
        <v>13383</v>
      </c>
      <c r="H3644" t="s">
        <v>266</v>
      </c>
      <c r="L3644" t="s">
        <v>20</v>
      </c>
      <c r="M3644" t="s">
        <v>13384</v>
      </c>
    </row>
    <row r="3645" spans="1:13" x14ac:dyDescent="0.25">
      <c r="A3645">
        <v>7015194</v>
      </c>
      <c r="B3645" t="s">
        <v>13385</v>
      </c>
      <c r="C3645" t="str">
        <f>"9783110567809"</f>
        <v>9783110567809</v>
      </c>
      <c r="D3645" t="str">
        <f>"9783110569070"</f>
        <v>9783110569070</v>
      </c>
      <c r="E3645" t="s">
        <v>350</v>
      </c>
      <c r="F3645" s="1">
        <v>43423</v>
      </c>
      <c r="G3645" t="s">
        <v>13386</v>
      </c>
      <c r="H3645" t="s">
        <v>246</v>
      </c>
      <c r="L3645" t="s">
        <v>291</v>
      </c>
      <c r="M3645" t="s">
        <v>13387</v>
      </c>
    </row>
    <row r="3646" spans="1:13" x14ac:dyDescent="0.25">
      <c r="A3646">
        <v>7015195</v>
      </c>
      <c r="B3646" t="s">
        <v>13388</v>
      </c>
      <c r="C3646" t="str">
        <f>""</f>
        <v/>
      </c>
      <c r="D3646" t="str">
        <f>"9783110446593"</f>
        <v>9783110446593</v>
      </c>
      <c r="E3646" t="s">
        <v>350</v>
      </c>
      <c r="F3646" s="1">
        <v>34669</v>
      </c>
      <c r="G3646" t="s">
        <v>13389</v>
      </c>
      <c r="H3646" t="s">
        <v>139</v>
      </c>
      <c r="L3646" t="s">
        <v>291</v>
      </c>
      <c r="M3646" t="s">
        <v>13390</v>
      </c>
    </row>
    <row r="3647" spans="1:13" x14ac:dyDescent="0.25">
      <c r="A3647">
        <v>7015196</v>
      </c>
      <c r="B3647" t="s">
        <v>13391</v>
      </c>
      <c r="C3647" t="str">
        <f>""</f>
        <v/>
      </c>
      <c r="D3647" t="str">
        <f>"9783110716016"</f>
        <v>9783110716016</v>
      </c>
      <c r="E3647" t="s">
        <v>350</v>
      </c>
      <c r="F3647" s="1">
        <v>44410</v>
      </c>
      <c r="G3647" t="s">
        <v>13392</v>
      </c>
      <c r="H3647" t="s">
        <v>1551</v>
      </c>
      <c r="L3647" t="s">
        <v>291</v>
      </c>
      <c r="M3647" t="s">
        <v>13393</v>
      </c>
    </row>
    <row r="3648" spans="1:13" x14ac:dyDescent="0.25">
      <c r="A3648">
        <v>7015197</v>
      </c>
      <c r="B3648" t="s">
        <v>13394</v>
      </c>
      <c r="C3648" t="str">
        <f>""</f>
        <v/>
      </c>
      <c r="D3648" t="str">
        <f>"9783110744767"</f>
        <v>9783110744767</v>
      </c>
      <c r="E3648" t="s">
        <v>350</v>
      </c>
      <c r="F3648" s="1">
        <v>44459</v>
      </c>
      <c r="G3648" t="s">
        <v>13395</v>
      </c>
      <c r="H3648" t="s">
        <v>2597</v>
      </c>
      <c r="J3648" t="s">
        <v>13396</v>
      </c>
      <c r="L3648" t="s">
        <v>20</v>
      </c>
      <c r="M3648" t="s">
        <v>13397</v>
      </c>
    </row>
    <row r="3649" spans="1:13" x14ac:dyDescent="0.25">
      <c r="A3649">
        <v>7015198</v>
      </c>
      <c r="B3649" t="s">
        <v>13398</v>
      </c>
      <c r="C3649" t="str">
        <f>""</f>
        <v/>
      </c>
      <c r="D3649" t="str">
        <f>"9783110727845"</f>
        <v>9783110727845</v>
      </c>
      <c r="E3649" t="s">
        <v>350</v>
      </c>
      <c r="F3649" s="1">
        <v>44446</v>
      </c>
      <c r="G3649" t="s">
        <v>13399</v>
      </c>
      <c r="H3649" t="s">
        <v>951</v>
      </c>
      <c r="L3649" t="s">
        <v>291</v>
      </c>
      <c r="M3649" t="s">
        <v>13400</v>
      </c>
    </row>
    <row r="3650" spans="1:13" x14ac:dyDescent="0.25">
      <c r="A3650">
        <v>7015199</v>
      </c>
      <c r="B3650" t="s">
        <v>13401</v>
      </c>
      <c r="C3650" t="str">
        <f>""</f>
        <v/>
      </c>
      <c r="D3650" t="str">
        <f>"9783111600765"</f>
        <v>9783111600765</v>
      </c>
      <c r="E3650" t="s">
        <v>350</v>
      </c>
      <c r="F3650" s="1">
        <v>6666</v>
      </c>
      <c r="G3650" t="s">
        <v>13402</v>
      </c>
      <c r="H3650" t="s">
        <v>239</v>
      </c>
      <c r="L3650" t="s">
        <v>291</v>
      </c>
      <c r="M3650" t="s">
        <v>13403</v>
      </c>
    </row>
    <row r="3651" spans="1:13" x14ac:dyDescent="0.25">
      <c r="A3651">
        <v>7015200</v>
      </c>
      <c r="B3651" t="s">
        <v>13404</v>
      </c>
      <c r="C3651" t="str">
        <f>""</f>
        <v/>
      </c>
      <c r="D3651" t="str">
        <f>"9783110720068"</f>
        <v>9783110720068</v>
      </c>
      <c r="E3651" t="s">
        <v>350</v>
      </c>
      <c r="F3651" s="1">
        <v>44277</v>
      </c>
      <c r="G3651" t="s">
        <v>13405</v>
      </c>
      <c r="H3651" t="s">
        <v>64</v>
      </c>
      <c r="L3651" t="s">
        <v>291</v>
      </c>
      <c r="M3651" t="s">
        <v>13406</v>
      </c>
    </row>
    <row r="3652" spans="1:13" x14ac:dyDescent="0.25">
      <c r="A3652">
        <v>7015201</v>
      </c>
      <c r="B3652" t="s">
        <v>13407</v>
      </c>
      <c r="C3652" t="str">
        <f>""</f>
        <v/>
      </c>
      <c r="D3652" t="str">
        <f>"9783110720365"</f>
        <v>9783110720365</v>
      </c>
      <c r="E3652" t="s">
        <v>350</v>
      </c>
      <c r="F3652" s="1">
        <v>43220</v>
      </c>
      <c r="G3652" t="s">
        <v>13408</v>
      </c>
      <c r="H3652" t="s">
        <v>851</v>
      </c>
      <c r="L3652" t="s">
        <v>20</v>
      </c>
      <c r="M3652" t="s">
        <v>13409</v>
      </c>
    </row>
    <row r="3653" spans="1:13" x14ac:dyDescent="0.25">
      <c r="A3653">
        <v>7015202</v>
      </c>
      <c r="B3653" t="s">
        <v>13410</v>
      </c>
      <c r="C3653" t="str">
        <f>""</f>
        <v/>
      </c>
      <c r="D3653" t="str">
        <f>"9783110712568"</f>
        <v>9783110712568</v>
      </c>
      <c r="E3653" t="s">
        <v>350</v>
      </c>
      <c r="F3653" s="1">
        <v>44431</v>
      </c>
      <c r="G3653" t="s">
        <v>13411</v>
      </c>
      <c r="H3653" t="s">
        <v>70</v>
      </c>
      <c r="L3653" t="s">
        <v>291</v>
      </c>
      <c r="M3653" t="s">
        <v>13412</v>
      </c>
    </row>
    <row r="3654" spans="1:13" x14ac:dyDescent="0.25">
      <c r="A3654">
        <v>7015203</v>
      </c>
      <c r="B3654" t="s">
        <v>13413</v>
      </c>
      <c r="C3654" t="str">
        <f>""</f>
        <v/>
      </c>
      <c r="D3654" t="str">
        <f>"9783035622164"</f>
        <v>9783035622164</v>
      </c>
      <c r="E3654" t="s">
        <v>350</v>
      </c>
      <c r="F3654" s="1">
        <v>44130</v>
      </c>
      <c r="G3654" t="s">
        <v>13414</v>
      </c>
      <c r="H3654" t="s">
        <v>806</v>
      </c>
      <c r="J3654" t="s">
        <v>13415</v>
      </c>
      <c r="L3654" t="s">
        <v>20</v>
      </c>
      <c r="M3654" t="s">
        <v>13416</v>
      </c>
    </row>
    <row r="3655" spans="1:13" x14ac:dyDescent="0.25">
      <c r="A3655">
        <v>7015204</v>
      </c>
      <c r="B3655" t="s">
        <v>13417</v>
      </c>
      <c r="C3655" t="str">
        <f>""</f>
        <v/>
      </c>
      <c r="D3655" t="str">
        <f>"9783110742503"</f>
        <v>9783110742503</v>
      </c>
      <c r="E3655" t="s">
        <v>350</v>
      </c>
      <c r="F3655" s="1">
        <v>44326</v>
      </c>
      <c r="G3655" t="s">
        <v>13418</v>
      </c>
      <c r="H3655" t="s">
        <v>13419</v>
      </c>
      <c r="L3655" t="s">
        <v>291</v>
      </c>
      <c r="M3655" t="s">
        <v>13420</v>
      </c>
    </row>
    <row r="3656" spans="1:13" x14ac:dyDescent="0.25">
      <c r="A3656">
        <v>7015205</v>
      </c>
      <c r="B3656" t="s">
        <v>13421</v>
      </c>
      <c r="C3656" t="str">
        <f>""</f>
        <v/>
      </c>
      <c r="D3656" t="str">
        <f>"9783110713626"</f>
        <v>9783110713626</v>
      </c>
      <c r="E3656" t="s">
        <v>350</v>
      </c>
      <c r="F3656" s="1">
        <v>44536</v>
      </c>
      <c r="G3656" t="s">
        <v>13422</v>
      </c>
      <c r="H3656" t="s">
        <v>70</v>
      </c>
      <c r="J3656">
        <v>809.93356100000005</v>
      </c>
      <c r="L3656" t="s">
        <v>20</v>
      </c>
      <c r="M3656" t="s">
        <v>13423</v>
      </c>
    </row>
    <row r="3657" spans="1:13" x14ac:dyDescent="0.25">
      <c r="A3657">
        <v>7015206</v>
      </c>
      <c r="B3657" t="s">
        <v>13424</v>
      </c>
      <c r="C3657" t="str">
        <f>""</f>
        <v/>
      </c>
      <c r="D3657" t="str">
        <f>"9783110747003"</f>
        <v>9783110747003</v>
      </c>
      <c r="E3657" t="s">
        <v>350</v>
      </c>
      <c r="F3657" s="1">
        <v>44473</v>
      </c>
      <c r="G3657" t="s">
        <v>13425</v>
      </c>
      <c r="H3657" t="s">
        <v>7970</v>
      </c>
      <c r="L3657" t="s">
        <v>291</v>
      </c>
      <c r="M3657" t="s">
        <v>13426</v>
      </c>
    </row>
    <row r="3658" spans="1:13" x14ac:dyDescent="0.25">
      <c r="A3658">
        <v>7015207</v>
      </c>
      <c r="B3658" t="s">
        <v>13427</v>
      </c>
      <c r="C3658" t="str">
        <f>"9783110568776"</f>
        <v>9783110568776</v>
      </c>
      <c r="D3658" t="str">
        <f>"9783110569636"</f>
        <v>9783110569636</v>
      </c>
      <c r="E3658" t="s">
        <v>350</v>
      </c>
      <c r="F3658" s="1">
        <v>44508</v>
      </c>
      <c r="G3658" t="s">
        <v>13428</v>
      </c>
      <c r="H3658" t="s">
        <v>5453</v>
      </c>
      <c r="J3658">
        <v>621.34</v>
      </c>
      <c r="L3658" t="s">
        <v>20</v>
      </c>
      <c r="M3658" t="s">
        <v>13429</v>
      </c>
    </row>
    <row r="3659" spans="1:13" x14ac:dyDescent="0.25">
      <c r="A3659">
        <v>7015208</v>
      </c>
      <c r="B3659" t="s">
        <v>13430</v>
      </c>
      <c r="C3659" t="str">
        <f>""</f>
        <v/>
      </c>
      <c r="D3659" t="str">
        <f>"9783111506234"</f>
        <v>9783111506234</v>
      </c>
      <c r="E3659" t="s">
        <v>350</v>
      </c>
      <c r="F3659" s="1">
        <v>18719</v>
      </c>
      <c r="G3659" t="s">
        <v>13431</v>
      </c>
      <c r="H3659" t="s">
        <v>139</v>
      </c>
      <c r="L3659" t="s">
        <v>291</v>
      </c>
      <c r="M3659" t="s">
        <v>13432</v>
      </c>
    </row>
    <row r="3660" spans="1:13" x14ac:dyDescent="0.25">
      <c r="A3660">
        <v>7015209</v>
      </c>
      <c r="B3660" t="s">
        <v>13433</v>
      </c>
      <c r="C3660" t="str">
        <f>"9783110617825"</f>
        <v>9783110617825</v>
      </c>
      <c r="D3660" t="str">
        <f>"9783110617832"</f>
        <v>9783110617832</v>
      </c>
      <c r="E3660" t="s">
        <v>350</v>
      </c>
      <c r="F3660" s="1">
        <v>43311</v>
      </c>
      <c r="G3660" t="s">
        <v>13434</v>
      </c>
      <c r="H3660" t="s">
        <v>13435</v>
      </c>
      <c r="L3660" t="s">
        <v>20</v>
      </c>
      <c r="M3660" t="s">
        <v>13436</v>
      </c>
    </row>
    <row r="3661" spans="1:13" x14ac:dyDescent="0.25">
      <c r="A3661">
        <v>7015210</v>
      </c>
      <c r="B3661" t="s">
        <v>13437</v>
      </c>
      <c r="C3661" t="str">
        <f>""</f>
        <v/>
      </c>
      <c r="D3661" t="str">
        <f>"9783110680744"</f>
        <v>9783110680744</v>
      </c>
      <c r="E3661" t="s">
        <v>270</v>
      </c>
      <c r="F3661" s="1">
        <v>44116</v>
      </c>
      <c r="G3661" t="s">
        <v>13438</v>
      </c>
      <c r="H3661" t="s">
        <v>851</v>
      </c>
      <c r="L3661" t="s">
        <v>20</v>
      </c>
      <c r="M3661" t="s">
        <v>13439</v>
      </c>
    </row>
    <row r="3662" spans="1:13" x14ac:dyDescent="0.25">
      <c r="A3662">
        <v>7015211</v>
      </c>
      <c r="B3662" t="s">
        <v>13440</v>
      </c>
      <c r="C3662" t="str">
        <f>""</f>
        <v/>
      </c>
      <c r="D3662" t="str">
        <f>"9783110748383"</f>
        <v>9783110748383</v>
      </c>
      <c r="E3662" t="s">
        <v>350</v>
      </c>
      <c r="F3662" s="1">
        <v>44536</v>
      </c>
      <c r="G3662" t="s">
        <v>3965</v>
      </c>
      <c r="H3662" t="s">
        <v>70</v>
      </c>
      <c r="J3662">
        <v>860.99800000000005</v>
      </c>
      <c r="L3662" t="s">
        <v>20</v>
      </c>
      <c r="M3662" t="s">
        <v>13441</v>
      </c>
    </row>
    <row r="3663" spans="1:13" x14ac:dyDescent="0.25">
      <c r="A3663">
        <v>7015212</v>
      </c>
      <c r="B3663" t="s">
        <v>13442</v>
      </c>
      <c r="C3663" t="str">
        <f>""</f>
        <v/>
      </c>
      <c r="D3663" t="str">
        <f>"9783111599991"</f>
        <v>9783111599991</v>
      </c>
      <c r="E3663" t="s">
        <v>350</v>
      </c>
      <c r="F3663" t="s">
        <v>12785</v>
      </c>
      <c r="G3663" t="s">
        <v>13443</v>
      </c>
      <c r="H3663" t="s">
        <v>139</v>
      </c>
      <c r="L3663" t="s">
        <v>291</v>
      </c>
      <c r="M3663" t="s">
        <v>13444</v>
      </c>
    </row>
    <row r="3664" spans="1:13" x14ac:dyDescent="0.25">
      <c r="A3664">
        <v>7015213</v>
      </c>
      <c r="B3664" t="s">
        <v>13445</v>
      </c>
      <c r="C3664" t="str">
        <f>""</f>
        <v/>
      </c>
      <c r="D3664" t="str">
        <f>"9783110894752"</f>
        <v>9783110894752</v>
      </c>
      <c r="E3664" t="s">
        <v>350</v>
      </c>
      <c r="F3664" s="1">
        <v>43497</v>
      </c>
      <c r="G3664" t="s">
        <v>13446</v>
      </c>
      <c r="H3664" t="s">
        <v>239</v>
      </c>
      <c r="L3664" t="s">
        <v>291</v>
      </c>
      <c r="M3664" t="s">
        <v>13447</v>
      </c>
    </row>
    <row r="3665" spans="1:13" x14ac:dyDescent="0.25">
      <c r="A3665">
        <v>7015214</v>
      </c>
      <c r="B3665" t="s">
        <v>13448</v>
      </c>
      <c r="C3665" t="str">
        <f>""</f>
        <v/>
      </c>
      <c r="D3665" t="str">
        <f>"9783110826401"</f>
        <v>9783110826401</v>
      </c>
      <c r="E3665" t="s">
        <v>350</v>
      </c>
      <c r="F3665" s="1">
        <v>25477</v>
      </c>
      <c r="G3665" t="s">
        <v>13449</v>
      </c>
      <c r="H3665" t="s">
        <v>70</v>
      </c>
      <c r="L3665" t="s">
        <v>291</v>
      </c>
      <c r="M3665" t="s">
        <v>13450</v>
      </c>
    </row>
    <row r="3666" spans="1:13" x14ac:dyDescent="0.25">
      <c r="A3666">
        <v>7015215</v>
      </c>
      <c r="B3666" t="s">
        <v>13451</v>
      </c>
      <c r="C3666" t="str">
        <f>""</f>
        <v/>
      </c>
      <c r="D3666" t="str">
        <f>"9783111479002"</f>
        <v>9783111479002</v>
      </c>
      <c r="E3666" t="s">
        <v>270</v>
      </c>
      <c r="F3666" s="1">
        <v>42497</v>
      </c>
      <c r="G3666" t="s">
        <v>13452</v>
      </c>
      <c r="H3666" t="s">
        <v>851</v>
      </c>
      <c r="L3666" t="s">
        <v>20</v>
      </c>
      <c r="M3666" t="s">
        <v>13453</v>
      </c>
    </row>
    <row r="3667" spans="1:13" x14ac:dyDescent="0.25">
      <c r="A3667">
        <v>7015216</v>
      </c>
      <c r="B3667" t="s">
        <v>13454</v>
      </c>
      <c r="C3667" t="str">
        <f>"9783110613438"</f>
        <v>9783110613438</v>
      </c>
      <c r="D3667" t="str">
        <f>"9783110613445"</f>
        <v>9783110613445</v>
      </c>
      <c r="E3667" t="s">
        <v>350</v>
      </c>
      <c r="F3667" s="1">
        <v>43385</v>
      </c>
      <c r="G3667" t="s">
        <v>13455</v>
      </c>
      <c r="H3667" t="s">
        <v>13456</v>
      </c>
      <c r="L3667" t="s">
        <v>20</v>
      </c>
      <c r="M3667" t="s">
        <v>13457</v>
      </c>
    </row>
    <row r="3668" spans="1:13" x14ac:dyDescent="0.25">
      <c r="A3668">
        <v>7015217</v>
      </c>
      <c r="B3668" t="s">
        <v>13458</v>
      </c>
      <c r="C3668" t="str">
        <f>""</f>
        <v/>
      </c>
      <c r="D3668" t="str">
        <f>"9783111486345"</f>
        <v>9783111486345</v>
      </c>
      <c r="E3668" t="s">
        <v>350</v>
      </c>
      <c r="F3668" t="s">
        <v>12997</v>
      </c>
      <c r="G3668" t="s">
        <v>13459</v>
      </c>
      <c r="H3668" t="s">
        <v>70</v>
      </c>
      <c r="L3668" t="s">
        <v>291</v>
      </c>
      <c r="M3668" t="s">
        <v>13460</v>
      </c>
    </row>
    <row r="3669" spans="1:13" x14ac:dyDescent="0.25">
      <c r="A3669">
        <v>7015218</v>
      </c>
      <c r="B3669" t="s">
        <v>13461</v>
      </c>
      <c r="C3669" t="str">
        <f>""</f>
        <v/>
      </c>
      <c r="D3669" t="str">
        <f>"9783110720303"</f>
        <v>9783110720303</v>
      </c>
      <c r="E3669" t="s">
        <v>350</v>
      </c>
      <c r="F3669" s="1">
        <v>42552</v>
      </c>
      <c r="G3669" t="s">
        <v>13462</v>
      </c>
      <c r="H3669" t="s">
        <v>13463</v>
      </c>
      <c r="L3669" t="s">
        <v>291</v>
      </c>
      <c r="M3669" t="s">
        <v>13464</v>
      </c>
    </row>
    <row r="3670" spans="1:13" x14ac:dyDescent="0.25">
      <c r="A3670">
        <v>7015219</v>
      </c>
      <c r="B3670" t="s">
        <v>13465</v>
      </c>
      <c r="C3670" t="str">
        <f>""</f>
        <v/>
      </c>
      <c r="D3670" t="str">
        <f>"9783110622836"</f>
        <v>9783110622836</v>
      </c>
      <c r="E3670" t="s">
        <v>350</v>
      </c>
      <c r="F3670" s="1">
        <v>44104</v>
      </c>
      <c r="G3670" t="s">
        <v>13466</v>
      </c>
      <c r="H3670" t="s">
        <v>13467</v>
      </c>
      <c r="L3670" t="s">
        <v>291</v>
      </c>
      <c r="M3670" t="s">
        <v>13468</v>
      </c>
    </row>
    <row r="3671" spans="1:13" x14ac:dyDescent="0.25">
      <c r="A3671">
        <v>7015220</v>
      </c>
      <c r="B3671" t="s">
        <v>13469</v>
      </c>
      <c r="C3671" t="str">
        <f>""</f>
        <v/>
      </c>
      <c r="D3671" t="str">
        <f>"9783110663839"</f>
        <v>9783110663839</v>
      </c>
      <c r="E3671" t="s">
        <v>350</v>
      </c>
      <c r="F3671" s="1">
        <v>43956</v>
      </c>
      <c r="G3671" t="s">
        <v>13470</v>
      </c>
      <c r="H3671" t="s">
        <v>1753</v>
      </c>
      <c r="L3671" t="s">
        <v>291</v>
      </c>
      <c r="M3671" t="s">
        <v>13471</v>
      </c>
    </row>
    <row r="3672" spans="1:13" x14ac:dyDescent="0.25">
      <c r="A3672">
        <v>7015221</v>
      </c>
      <c r="B3672" t="s">
        <v>13472</v>
      </c>
      <c r="C3672" t="str">
        <f>""</f>
        <v/>
      </c>
      <c r="D3672" t="str">
        <f>"9783111571881"</f>
        <v>9783111571881</v>
      </c>
      <c r="E3672" t="s">
        <v>350</v>
      </c>
      <c r="F3672" s="1">
        <v>43466</v>
      </c>
      <c r="G3672" t="s">
        <v>13473</v>
      </c>
      <c r="H3672" t="s">
        <v>712</v>
      </c>
      <c r="L3672" t="s">
        <v>291</v>
      </c>
      <c r="M3672" t="s">
        <v>13474</v>
      </c>
    </row>
    <row r="3673" spans="1:13" x14ac:dyDescent="0.25">
      <c r="A3673">
        <v>7015222</v>
      </c>
      <c r="B3673" t="s">
        <v>13475</v>
      </c>
      <c r="C3673" t="str">
        <f>""</f>
        <v/>
      </c>
      <c r="D3673" t="str">
        <f>"9783110730531"</f>
        <v>9783110730531</v>
      </c>
      <c r="E3673" t="s">
        <v>350</v>
      </c>
      <c r="F3673" s="1">
        <v>44494</v>
      </c>
      <c r="G3673" t="s">
        <v>13476</v>
      </c>
      <c r="H3673" t="s">
        <v>16</v>
      </c>
      <c r="L3673" t="s">
        <v>291</v>
      </c>
      <c r="M3673" t="s">
        <v>13477</v>
      </c>
    </row>
    <row r="3674" spans="1:13" x14ac:dyDescent="0.25">
      <c r="A3674">
        <v>7015223</v>
      </c>
      <c r="B3674" t="s">
        <v>13478</v>
      </c>
      <c r="C3674" t="str">
        <f>""</f>
        <v/>
      </c>
      <c r="D3674" t="str">
        <f>"9783110731378"</f>
        <v>9783110731378</v>
      </c>
      <c r="E3674" t="s">
        <v>350</v>
      </c>
      <c r="F3674" s="1">
        <v>44522</v>
      </c>
      <c r="G3674" t="s">
        <v>13479</v>
      </c>
      <c r="H3674" t="s">
        <v>139</v>
      </c>
      <c r="L3674" t="s">
        <v>291</v>
      </c>
      <c r="M3674" t="s">
        <v>13480</v>
      </c>
    </row>
    <row r="3675" spans="1:13" x14ac:dyDescent="0.25">
      <c r="A3675">
        <v>7015224</v>
      </c>
      <c r="B3675" t="s">
        <v>13481</v>
      </c>
      <c r="C3675" t="str">
        <f>""</f>
        <v/>
      </c>
      <c r="D3675" t="str">
        <f>"9783110705621"</f>
        <v>9783110705621</v>
      </c>
      <c r="E3675" t="s">
        <v>350</v>
      </c>
      <c r="F3675" s="1">
        <v>44292</v>
      </c>
      <c r="G3675" t="s">
        <v>13482</v>
      </c>
      <c r="H3675" t="s">
        <v>139</v>
      </c>
      <c r="L3675" t="s">
        <v>291</v>
      </c>
      <c r="M3675" t="s">
        <v>13483</v>
      </c>
    </row>
    <row r="3676" spans="1:13" x14ac:dyDescent="0.25">
      <c r="A3676">
        <v>7015225</v>
      </c>
      <c r="B3676" t="s">
        <v>13484</v>
      </c>
      <c r="C3676" t="str">
        <f>""</f>
        <v/>
      </c>
      <c r="D3676" t="str">
        <f>"9783110720037"</f>
        <v>9783110720037</v>
      </c>
      <c r="E3676" t="s">
        <v>350</v>
      </c>
      <c r="F3676" s="1">
        <v>40210</v>
      </c>
      <c r="G3676" t="s">
        <v>12226</v>
      </c>
      <c r="H3676" t="s">
        <v>2293</v>
      </c>
      <c r="L3676" t="s">
        <v>291</v>
      </c>
      <c r="M3676" t="s">
        <v>13485</v>
      </c>
    </row>
    <row r="3677" spans="1:13" x14ac:dyDescent="0.25">
      <c r="A3677">
        <v>7015226</v>
      </c>
      <c r="B3677" t="s">
        <v>13486</v>
      </c>
      <c r="C3677" t="str">
        <f>""</f>
        <v/>
      </c>
      <c r="D3677" t="str">
        <f>"9783110906639"</f>
        <v>9783110906639</v>
      </c>
      <c r="E3677" t="s">
        <v>350</v>
      </c>
      <c r="F3677" s="1">
        <v>21947</v>
      </c>
      <c r="G3677" t="s">
        <v>13487</v>
      </c>
      <c r="H3677" t="s">
        <v>239</v>
      </c>
      <c r="L3677" t="s">
        <v>291</v>
      </c>
      <c r="M3677" t="s">
        <v>13488</v>
      </c>
    </row>
    <row r="3678" spans="1:13" x14ac:dyDescent="0.25">
      <c r="A3678">
        <v>7015227</v>
      </c>
      <c r="B3678" t="s">
        <v>13489</v>
      </c>
      <c r="C3678" t="str">
        <f>""</f>
        <v/>
      </c>
      <c r="D3678" t="str">
        <f>"9783110753707"</f>
        <v>9783110753707</v>
      </c>
      <c r="E3678" t="s">
        <v>350</v>
      </c>
      <c r="F3678" s="1">
        <v>44522</v>
      </c>
      <c r="G3678" t="s">
        <v>13490</v>
      </c>
      <c r="H3678" t="s">
        <v>16</v>
      </c>
      <c r="L3678" t="s">
        <v>20</v>
      </c>
      <c r="M3678" t="s">
        <v>13491</v>
      </c>
    </row>
    <row r="3679" spans="1:13" x14ac:dyDescent="0.25">
      <c r="A3679">
        <v>7015228</v>
      </c>
      <c r="B3679" t="s">
        <v>13492</v>
      </c>
      <c r="C3679" t="str">
        <f>""</f>
        <v/>
      </c>
      <c r="D3679" t="str">
        <f>"9783110651874"</f>
        <v>9783110651874</v>
      </c>
      <c r="E3679" t="s">
        <v>350</v>
      </c>
      <c r="F3679" s="1">
        <v>44067</v>
      </c>
      <c r="G3679" t="s">
        <v>13493</v>
      </c>
      <c r="H3679" t="s">
        <v>64</v>
      </c>
      <c r="J3679">
        <v>305.31</v>
      </c>
      <c r="L3679" t="s">
        <v>20</v>
      </c>
      <c r="M3679" t="s">
        <v>13494</v>
      </c>
    </row>
    <row r="3680" spans="1:13" x14ac:dyDescent="0.25">
      <c r="A3680">
        <v>7015229</v>
      </c>
      <c r="B3680" t="s">
        <v>13495</v>
      </c>
      <c r="C3680" t="str">
        <f>""</f>
        <v/>
      </c>
      <c r="D3680" t="str">
        <f>"9783111707884"</f>
        <v>9783111707884</v>
      </c>
      <c r="E3680" t="s">
        <v>350</v>
      </c>
      <c r="F3680" s="1">
        <v>1553</v>
      </c>
      <c r="G3680" t="s">
        <v>13496</v>
      </c>
      <c r="H3680" t="s">
        <v>16</v>
      </c>
      <c r="L3680" t="s">
        <v>291</v>
      </c>
      <c r="M3680" t="s">
        <v>13497</v>
      </c>
    </row>
    <row r="3681" spans="1:13" x14ac:dyDescent="0.25">
      <c r="A3681">
        <v>7015230</v>
      </c>
      <c r="B3681" t="s">
        <v>13498</v>
      </c>
      <c r="C3681" t="str">
        <f>""</f>
        <v/>
      </c>
      <c r="D3681" t="str">
        <f>"9783111526713"</f>
        <v>9783111526713</v>
      </c>
      <c r="E3681" t="s">
        <v>350</v>
      </c>
      <c r="F3681" s="1">
        <v>5205</v>
      </c>
      <c r="G3681" t="s">
        <v>13499</v>
      </c>
      <c r="H3681" t="s">
        <v>239</v>
      </c>
      <c r="L3681" t="s">
        <v>291</v>
      </c>
      <c r="M3681" t="s">
        <v>13500</v>
      </c>
    </row>
    <row r="3682" spans="1:13" x14ac:dyDescent="0.25">
      <c r="A3682">
        <v>7015231</v>
      </c>
      <c r="B3682" t="s">
        <v>13501</v>
      </c>
      <c r="C3682" t="str">
        <f>""</f>
        <v/>
      </c>
      <c r="D3682" t="str">
        <f>"9783110707557"</f>
        <v>9783110707557</v>
      </c>
      <c r="E3682" t="s">
        <v>350</v>
      </c>
      <c r="F3682" s="1">
        <v>44494</v>
      </c>
      <c r="G3682" t="s">
        <v>13502</v>
      </c>
      <c r="H3682" t="s">
        <v>2902</v>
      </c>
      <c r="L3682" t="s">
        <v>4340</v>
      </c>
      <c r="M3682" t="s">
        <v>13503</v>
      </c>
    </row>
    <row r="3683" spans="1:13" x14ac:dyDescent="0.25">
      <c r="A3683">
        <v>7015232</v>
      </c>
      <c r="B3683" t="s">
        <v>13504</v>
      </c>
      <c r="C3683" t="str">
        <f>""</f>
        <v/>
      </c>
      <c r="D3683" t="str">
        <f>"9788395720499"</f>
        <v>9788395720499</v>
      </c>
      <c r="E3683" t="s">
        <v>350</v>
      </c>
      <c r="F3683" s="1">
        <v>44216</v>
      </c>
      <c r="G3683" t="s">
        <v>13505</v>
      </c>
      <c r="H3683" t="s">
        <v>851</v>
      </c>
      <c r="L3683" t="s">
        <v>20</v>
      </c>
      <c r="M3683" t="s">
        <v>13506</v>
      </c>
    </row>
    <row r="3684" spans="1:13" x14ac:dyDescent="0.25">
      <c r="A3684">
        <v>7015233</v>
      </c>
      <c r="B3684" t="s">
        <v>13507</v>
      </c>
      <c r="C3684" t="str">
        <f>""</f>
        <v/>
      </c>
      <c r="D3684" t="str">
        <f>"9783486778014"</f>
        <v>9783486778014</v>
      </c>
      <c r="E3684" t="s">
        <v>350</v>
      </c>
      <c r="F3684" s="1">
        <v>18354</v>
      </c>
      <c r="G3684" t="s">
        <v>13508</v>
      </c>
      <c r="H3684" t="s">
        <v>1178</v>
      </c>
      <c r="L3684" t="s">
        <v>291</v>
      </c>
      <c r="M3684" t="s">
        <v>13509</v>
      </c>
    </row>
    <row r="3685" spans="1:13" x14ac:dyDescent="0.25">
      <c r="A3685">
        <v>7015234</v>
      </c>
      <c r="B3685" t="s">
        <v>13510</v>
      </c>
      <c r="C3685" t="str">
        <f>"9783486516715"</f>
        <v>9783486516715</v>
      </c>
      <c r="D3685" t="str">
        <f>"9783486594157"</f>
        <v>9783486594157</v>
      </c>
      <c r="E3685" t="s">
        <v>350</v>
      </c>
      <c r="F3685" s="1">
        <v>30819</v>
      </c>
      <c r="G3685" t="s">
        <v>13511</v>
      </c>
      <c r="H3685" t="s">
        <v>139</v>
      </c>
      <c r="J3685" t="s">
        <v>13512</v>
      </c>
      <c r="L3685" t="s">
        <v>291</v>
      </c>
      <c r="M3685" t="s">
        <v>13513</v>
      </c>
    </row>
    <row r="3686" spans="1:13" x14ac:dyDescent="0.25">
      <c r="A3686">
        <v>7015235</v>
      </c>
      <c r="B3686" t="s">
        <v>13514</v>
      </c>
      <c r="C3686" t="str">
        <f>""</f>
        <v/>
      </c>
      <c r="D3686" t="str">
        <f>"9783110729290"</f>
        <v>9783110729290</v>
      </c>
      <c r="E3686" t="s">
        <v>350</v>
      </c>
      <c r="F3686" s="1">
        <v>44522</v>
      </c>
      <c r="G3686" t="s">
        <v>13515</v>
      </c>
      <c r="H3686" t="s">
        <v>30</v>
      </c>
      <c r="J3686">
        <v>320.54000000000002</v>
      </c>
      <c r="L3686" t="s">
        <v>20</v>
      </c>
      <c r="M3686" t="s">
        <v>13516</v>
      </c>
    </row>
    <row r="3687" spans="1:13" x14ac:dyDescent="0.25">
      <c r="A3687">
        <v>7015236</v>
      </c>
      <c r="B3687" t="s">
        <v>13517</v>
      </c>
      <c r="C3687" t="str">
        <f>""</f>
        <v/>
      </c>
      <c r="D3687" t="str">
        <f>"9783111506807"</f>
        <v>9783111506807</v>
      </c>
      <c r="E3687" t="s">
        <v>350</v>
      </c>
      <c r="F3687" s="1">
        <v>43497</v>
      </c>
      <c r="G3687" t="s">
        <v>13518</v>
      </c>
      <c r="H3687" t="s">
        <v>266</v>
      </c>
      <c r="L3687" t="s">
        <v>291</v>
      </c>
      <c r="M3687" t="s">
        <v>13519</v>
      </c>
    </row>
    <row r="3688" spans="1:13" x14ac:dyDescent="0.25">
      <c r="A3688">
        <v>7015237</v>
      </c>
      <c r="B3688" t="s">
        <v>13520</v>
      </c>
      <c r="C3688" t="str">
        <f>""</f>
        <v/>
      </c>
      <c r="D3688" t="str">
        <f>"9783486777390"</f>
        <v>9783486777390</v>
      </c>
      <c r="E3688" t="s">
        <v>350</v>
      </c>
      <c r="F3688" s="1">
        <v>17899</v>
      </c>
      <c r="G3688" t="s">
        <v>13521</v>
      </c>
      <c r="H3688" t="s">
        <v>70</v>
      </c>
      <c r="L3688" t="s">
        <v>291</v>
      </c>
      <c r="M3688" t="s">
        <v>13522</v>
      </c>
    </row>
    <row r="3689" spans="1:13" x14ac:dyDescent="0.25">
      <c r="A3689">
        <v>7015238</v>
      </c>
      <c r="B3689" t="s">
        <v>13523</v>
      </c>
      <c r="C3689" t="str">
        <f>""</f>
        <v/>
      </c>
      <c r="D3689" t="str">
        <f>"9783111637464"</f>
        <v>9783111637464</v>
      </c>
      <c r="E3689" t="s">
        <v>350</v>
      </c>
      <c r="F3689" s="1">
        <v>25659</v>
      </c>
      <c r="G3689" t="s">
        <v>13524</v>
      </c>
      <c r="H3689" t="s">
        <v>70</v>
      </c>
      <c r="L3689" t="s">
        <v>291</v>
      </c>
      <c r="M3689" t="s">
        <v>13525</v>
      </c>
    </row>
    <row r="3690" spans="1:13" x14ac:dyDescent="0.25">
      <c r="A3690">
        <v>7015239</v>
      </c>
      <c r="B3690" t="s">
        <v>13526</v>
      </c>
      <c r="C3690" t="str">
        <f>""</f>
        <v/>
      </c>
      <c r="D3690" t="str">
        <f>"9783110722758"</f>
        <v>9783110722758</v>
      </c>
      <c r="E3690" t="s">
        <v>350</v>
      </c>
      <c r="F3690" s="1">
        <v>44263</v>
      </c>
      <c r="G3690" t="s">
        <v>13527</v>
      </c>
      <c r="H3690" t="s">
        <v>3973</v>
      </c>
      <c r="L3690" t="s">
        <v>291</v>
      </c>
      <c r="M3690" t="s">
        <v>13528</v>
      </c>
    </row>
    <row r="3691" spans="1:13" x14ac:dyDescent="0.25">
      <c r="A3691">
        <v>7015240</v>
      </c>
      <c r="B3691" t="s">
        <v>13529</v>
      </c>
      <c r="C3691" t="str">
        <f>"9783486241075"</f>
        <v>9783486241075</v>
      </c>
      <c r="D3691" t="str">
        <f>"9783486792720"</f>
        <v>9783486792720</v>
      </c>
      <c r="E3691" t="s">
        <v>350</v>
      </c>
      <c r="F3691" s="1">
        <v>35487</v>
      </c>
      <c r="G3691" t="s">
        <v>13530</v>
      </c>
      <c r="H3691" t="s">
        <v>2368</v>
      </c>
      <c r="L3691" t="s">
        <v>291</v>
      </c>
      <c r="M3691" t="s">
        <v>13531</v>
      </c>
    </row>
    <row r="3692" spans="1:13" x14ac:dyDescent="0.25">
      <c r="A3692">
        <v>7015241</v>
      </c>
      <c r="B3692" t="s">
        <v>13532</v>
      </c>
      <c r="C3692" t="str">
        <f>""</f>
        <v/>
      </c>
      <c r="D3692" t="str">
        <f>"9783110616194"</f>
        <v>9783110616194</v>
      </c>
      <c r="E3692" t="s">
        <v>350</v>
      </c>
      <c r="F3692" s="1">
        <v>44410</v>
      </c>
      <c r="G3692" t="s">
        <v>13533</v>
      </c>
      <c r="H3692" t="s">
        <v>851</v>
      </c>
      <c r="L3692" t="s">
        <v>291</v>
      </c>
      <c r="M3692" t="s">
        <v>13534</v>
      </c>
    </row>
    <row r="3693" spans="1:13" x14ac:dyDescent="0.25">
      <c r="A3693">
        <v>7015242</v>
      </c>
      <c r="B3693" t="s">
        <v>13535</v>
      </c>
      <c r="C3693" t="str">
        <f>""</f>
        <v/>
      </c>
      <c r="D3693" t="str">
        <f>"9783110655599"</f>
        <v>9783110655599</v>
      </c>
      <c r="E3693" t="s">
        <v>350</v>
      </c>
      <c r="F3693" s="1">
        <v>43871</v>
      </c>
      <c r="G3693" t="s">
        <v>13536</v>
      </c>
      <c r="H3693" t="s">
        <v>139</v>
      </c>
      <c r="L3693" t="s">
        <v>20</v>
      </c>
      <c r="M3693" t="s">
        <v>13537</v>
      </c>
    </row>
    <row r="3694" spans="1:13" x14ac:dyDescent="0.25">
      <c r="A3694">
        <v>7015243</v>
      </c>
      <c r="B3694" t="s">
        <v>13538</v>
      </c>
      <c r="C3694" t="str">
        <f>""</f>
        <v/>
      </c>
      <c r="D3694" t="str">
        <f>"9783110622522"</f>
        <v>9783110622522</v>
      </c>
      <c r="E3694" t="s">
        <v>350</v>
      </c>
      <c r="F3694" s="1">
        <v>35139</v>
      </c>
      <c r="G3694" t="s">
        <v>13539</v>
      </c>
      <c r="H3694" t="s">
        <v>851</v>
      </c>
      <c r="L3694" t="s">
        <v>291</v>
      </c>
      <c r="M3694" t="s">
        <v>13540</v>
      </c>
    </row>
    <row r="3695" spans="1:13" x14ac:dyDescent="0.25">
      <c r="A3695">
        <v>7015244</v>
      </c>
      <c r="B3695" t="s">
        <v>13541</v>
      </c>
      <c r="C3695" t="str">
        <f>""</f>
        <v/>
      </c>
      <c r="D3695" t="str">
        <f>"9783110722291"</f>
        <v>9783110722291</v>
      </c>
      <c r="E3695" t="s">
        <v>350</v>
      </c>
      <c r="F3695" s="1">
        <v>44522</v>
      </c>
      <c r="G3695" t="s">
        <v>13542</v>
      </c>
      <c r="H3695" t="s">
        <v>16</v>
      </c>
      <c r="L3695" t="s">
        <v>20</v>
      </c>
      <c r="M3695" t="s">
        <v>13543</v>
      </c>
    </row>
    <row r="3696" spans="1:13" x14ac:dyDescent="0.25">
      <c r="A3696">
        <v>7015245</v>
      </c>
      <c r="B3696" t="s">
        <v>13544</v>
      </c>
      <c r="C3696" t="str">
        <f>"9783110634075"</f>
        <v>9783110634075</v>
      </c>
      <c r="D3696" t="str">
        <f>"9783110634082"</f>
        <v>9783110634082</v>
      </c>
      <c r="E3696" t="s">
        <v>350</v>
      </c>
      <c r="F3696" s="1">
        <v>43461</v>
      </c>
      <c r="G3696" t="s">
        <v>13545</v>
      </c>
      <c r="H3696" t="s">
        <v>120</v>
      </c>
      <c r="L3696" t="s">
        <v>20</v>
      </c>
      <c r="M3696" t="s">
        <v>13546</v>
      </c>
    </row>
    <row r="3697" spans="1:13" x14ac:dyDescent="0.25">
      <c r="A3697">
        <v>7015246</v>
      </c>
      <c r="B3697" t="s">
        <v>13547</v>
      </c>
      <c r="C3697" t="str">
        <f>"9783110587807"</f>
        <v>9783110587807</v>
      </c>
      <c r="D3697" t="str">
        <f>"9783110591026"</f>
        <v>9783110591026</v>
      </c>
      <c r="E3697" t="s">
        <v>350</v>
      </c>
      <c r="F3697" s="1">
        <v>43927</v>
      </c>
      <c r="G3697" t="s">
        <v>13548</v>
      </c>
      <c r="H3697" t="s">
        <v>272</v>
      </c>
      <c r="L3697" t="s">
        <v>291</v>
      </c>
      <c r="M3697" t="s">
        <v>13549</v>
      </c>
    </row>
    <row r="3698" spans="1:13" x14ac:dyDescent="0.25">
      <c r="A3698">
        <v>7015247</v>
      </c>
      <c r="B3698" t="s">
        <v>13550</v>
      </c>
      <c r="C3698" t="str">
        <f>"9783110602234"</f>
        <v>9783110602234</v>
      </c>
      <c r="D3698" t="str">
        <f>"9783110604955"</f>
        <v>9783110604955</v>
      </c>
      <c r="E3698" t="s">
        <v>350</v>
      </c>
      <c r="F3698" s="1">
        <v>43353</v>
      </c>
      <c r="G3698" t="s">
        <v>13551</v>
      </c>
      <c r="H3698" t="s">
        <v>139</v>
      </c>
      <c r="L3698" t="s">
        <v>291</v>
      </c>
      <c r="M3698" t="s">
        <v>13552</v>
      </c>
    </row>
    <row r="3699" spans="1:13" x14ac:dyDescent="0.25">
      <c r="A3699">
        <v>7015248</v>
      </c>
      <c r="B3699" t="s">
        <v>13553</v>
      </c>
      <c r="C3699" t="str">
        <f>""</f>
        <v/>
      </c>
      <c r="D3699" t="str">
        <f>"9783111526966"</f>
        <v>9783111526966</v>
      </c>
      <c r="E3699" t="s">
        <v>350</v>
      </c>
      <c r="F3699" s="1">
        <v>20911</v>
      </c>
      <c r="G3699" t="s">
        <v>13554</v>
      </c>
      <c r="H3699" t="s">
        <v>239</v>
      </c>
      <c r="L3699" t="s">
        <v>291</v>
      </c>
      <c r="M3699" t="s">
        <v>13555</v>
      </c>
    </row>
    <row r="3700" spans="1:13" x14ac:dyDescent="0.25">
      <c r="A3700">
        <v>7015249</v>
      </c>
      <c r="B3700" t="s">
        <v>13556</v>
      </c>
      <c r="C3700" t="str">
        <f>""</f>
        <v/>
      </c>
      <c r="D3700" t="str">
        <f>"9783110601183"</f>
        <v>9783110601183</v>
      </c>
      <c r="E3700" t="s">
        <v>350</v>
      </c>
      <c r="F3700" s="1">
        <v>43969</v>
      </c>
      <c r="G3700" t="s">
        <v>13557</v>
      </c>
      <c r="H3700" t="s">
        <v>126</v>
      </c>
      <c r="I3700" t="s">
        <v>13558</v>
      </c>
      <c r="J3700">
        <v>307.336096</v>
      </c>
      <c r="L3700" t="s">
        <v>20</v>
      </c>
      <c r="M3700" t="s">
        <v>13559</v>
      </c>
    </row>
    <row r="3701" spans="1:13" x14ac:dyDescent="0.25">
      <c r="A3701">
        <v>7015250</v>
      </c>
      <c r="B3701" t="s">
        <v>13560</v>
      </c>
      <c r="C3701" t="str">
        <f>""</f>
        <v/>
      </c>
      <c r="D3701" t="str">
        <f>"9783110622447"</f>
        <v>9783110622447</v>
      </c>
      <c r="E3701" t="s">
        <v>350</v>
      </c>
      <c r="F3701" s="1">
        <v>43494</v>
      </c>
      <c r="G3701" t="s">
        <v>13561</v>
      </c>
      <c r="H3701" t="s">
        <v>851</v>
      </c>
      <c r="L3701" t="s">
        <v>291</v>
      </c>
      <c r="M3701" t="s">
        <v>13562</v>
      </c>
    </row>
    <row r="3702" spans="1:13" x14ac:dyDescent="0.25">
      <c r="A3702">
        <v>7015251</v>
      </c>
      <c r="B3702" t="s">
        <v>13563</v>
      </c>
      <c r="C3702" t="str">
        <f>""</f>
        <v/>
      </c>
      <c r="D3702" t="str">
        <f>"9783110695366"</f>
        <v>9783110695366</v>
      </c>
      <c r="E3702" t="s">
        <v>350</v>
      </c>
      <c r="F3702" s="1">
        <v>44326</v>
      </c>
      <c r="G3702" t="s">
        <v>13564</v>
      </c>
      <c r="H3702" t="s">
        <v>70</v>
      </c>
      <c r="L3702" t="s">
        <v>20</v>
      </c>
      <c r="M3702" t="s">
        <v>13565</v>
      </c>
    </row>
    <row r="3703" spans="1:13" x14ac:dyDescent="0.25">
      <c r="A3703">
        <v>7015252</v>
      </c>
      <c r="B3703" t="s">
        <v>13566</v>
      </c>
      <c r="C3703" t="str">
        <f>""</f>
        <v/>
      </c>
      <c r="D3703" t="str">
        <f>"9783111612089"</f>
        <v>9783111612089</v>
      </c>
      <c r="E3703" t="s">
        <v>350</v>
      </c>
      <c r="F3703" t="s">
        <v>13567</v>
      </c>
      <c r="G3703" t="s">
        <v>13568</v>
      </c>
      <c r="H3703" t="s">
        <v>4945</v>
      </c>
      <c r="L3703" t="s">
        <v>291</v>
      </c>
      <c r="M3703" t="s">
        <v>13569</v>
      </c>
    </row>
    <row r="3704" spans="1:13" x14ac:dyDescent="0.25">
      <c r="A3704">
        <v>7015253</v>
      </c>
      <c r="B3704" t="s">
        <v>13570</v>
      </c>
      <c r="C3704" t="str">
        <f>""</f>
        <v/>
      </c>
      <c r="D3704" t="str">
        <f>"9783111698205"</f>
        <v>9783111698205</v>
      </c>
      <c r="E3704" t="s">
        <v>270</v>
      </c>
      <c r="F3704" s="1">
        <v>26024</v>
      </c>
      <c r="G3704" t="s">
        <v>13571</v>
      </c>
      <c r="H3704" t="s">
        <v>3107</v>
      </c>
      <c r="L3704" t="s">
        <v>20</v>
      </c>
      <c r="M3704" t="s">
        <v>13572</v>
      </c>
    </row>
    <row r="3705" spans="1:13" x14ac:dyDescent="0.25">
      <c r="A3705">
        <v>7015254</v>
      </c>
      <c r="B3705" t="s">
        <v>13573</v>
      </c>
      <c r="C3705" t="str">
        <f>""</f>
        <v/>
      </c>
      <c r="D3705" t="str">
        <f>"9783111388618"</f>
        <v>9783111388618</v>
      </c>
      <c r="E3705" t="s">
        <v>350</v>
      </c>
      <c r="F3705" s="1">
        <v>24198</v>
      </c>
      <c r="H3705" t="s">
        <v>13574</v>
      </c>
      <c r="L3705" t="s">
        <v>291</v>
      </c>
      <c r="M3705" t="s">
        <v>13575</v>
      </c>
    </row>
    <row r="3706" spans="1:13" x14ac:dyDescent="0.25">
      <c r="A3706">
        <v>7015255</v>
      </c>
      <c r="B3706" t="s">
        <v>13576</v>
      </c>
      <c r="C3706" t="str">
        <f>""</f>
        <v/>
      </c>
      <c r="D3706" t="str">
        <f>"9783110655575"</f>
        <v>9783110655575</v>
      </c>
      <c r="E3706" t="s">
        <v>350</v>
      </c>
      <c r="F3706" s="1">
        <v>44095</v>
      </c>
      <c r="G3706" t="s">
        <v>13577</v>
      </c>
      <c r="H3706" t="s">
        <v>1753</v>
      </c>
      <c r="J3706">
        <v>382.09429999999998</v>
      </c>
      <c r="L3706" t="s">
        <v>20</v>
      </c>
      <c r="M3706" t="s">
        <v>13578</v>
      </c>
    </row>
    <row r="3707" spans="1:13" x14ac:dyDescent="0.25">
      <c r="A3707">
        <v>7015256</v>
      </c>
      <c r="B3707" t="s">
        <v>13579</v>
      </c>
      <c r="C3707" t="str">
        <f>""</f>
        <v/>
      </c>
      <c r="D3707" t="str">
        <f>"9783110713336"</f>
        <v>9783110713336</v>
      </c>
      <c r="E3707" t="s">
        <v>350</v>
      </c>
      <c r="F3707" s="1">
        <v>44494</v>
      </c>
      <c r="G3707" t="s">
        <v>13580</v>
      </c>
      <c r="H3707" t="s">
        <v>13581</v>
      </c>
      <c r="L3707" t="s">
        <v>291</v>
      </c>
      <c r="M3707" t="s">
        <v>13582</v>
      </c>
    </row>
    <row r="3708" spans="1:13" x14ac:dyDescent="0.25">
      <c r="A3708">
        <v>7015257</v>
      </c>
      <c r="B3708" t="s">
        <v>13583</v>
      </c>
      <c r="C3708" t="str">
        <f>""</f>
        <v/>
      </c>
      <c r="D3708" t="str">
        <f>"9783486754360"</f>
        <v>9783486754360</v>
      </c>
      <c r="E3708" t="s">
        <v>350</v>
      </c>
      <c r="F3708" s="1">
        <v>9863</v>
      </c>
      <c r="G3708" t="s">
        <v>13584</v>
      </c>
      <c r="H3708" t="s">
        <v>70</v>
      </c>
      <c r="L3708" t="s">
        <v>291</v>
      </c>
      <c r="M3708" t="s">
        <v>13585</v>
      </c>
    </row>
    <row r="3709" spans="1:13" x14ac:dyDescent="0.25">
      <c r="A3709">
        <v>7015258</v>
      </c>
      <c r="B3709" t="s">
        <v>13586</v>
      </c>
      <c r="C3709" t="str">
        <f>"9783035617962"</f>
        <v>9783035617962</v>
      </c>
      <c r="D3709" t="str">
        <f>"9783035618013"</f>
        <v>9783035618013</v>
      </c>
      <c r="E3709" t="s">
        <v>350</v>
      </c>
      <c r="F3709" s="1">
        <v>43333</v>
      </c>
      <c r="G3709" t="s">
        <v>13587</v>
      </c>
      <c r="H3709" t="s">
        <v>806</v>
      </c>
      <c r="J3709" t="s">
        <v>13588</v>
      </c>
      <c r="L3709" t="s">
        <v>20</v>
      </c>
      <c r="M3709" t="s">
        <v>13589</v>
      </c>
    </row>
    <row r="3710" spans="1:13" x14ac:dyDescent="0.25">
      <c r="A3710">
        <v>7015259</v>
      </c>
      <c r="B3710" t="s">
        <v>13590</v>
      </c>
      <c r="C3710" t="str">
        <f>""</f>
        <v/>
      </c>
      <c r="D3710" t="str">
        <f>"9783111721088"</f>
        <v>9783111721088</v>
      </c>
      <c r="E3710" t="s">
        <v>350</v>
      </c>
      <c r="F3710" s="1">
        <v>92</v>
      </c>
      <c r="G3710" t="s">
        <v>13591</v>
      </c>
      <c r="H3710" t="s">
        <v>139</v>
      </c>
      <c r="L3710" t="s">
        <v>291</v>
      </c>
      <c r="M3710" t="s">
        <v>13592</v>
      </c>
    </row>
    <row r="3711" spans="1:13" x14ac:dyDescent="0.25">
      <c r="A3711">
        <v>7015260</v>
      </c>
      <c r="B3711" t="s">
        <v>13593</v>
      </c>
      <c r="C3711" t="str">
        <f>""</f>
        <v/>
      </c>
      <c r="D3711" t="str">
        <f>"9783111436753"</f>
        <v>9783111436753</v>
      </c>
      <c r="E3711" t="s">
        <v>350</v>
      </c>
      <c r="F3711" s="1">
        <v>26755</v>
      </c>
      <c r="G3711" t="s">
        <v>13594</v>
      </c>
      <c r="H3711" t="s">
        <v>41</v>
      </c>
      <c r="L3711" t="s">
        <v>291</v>
      </c>
      <c r="M3711" t="s">
        <v>13595</v>
      </c>
    </row>
    <row r="3712" spans="1:13" x14ac:dyDescent="0.25">
      <c r="A3712">
        <v>7015261</v>
      </c>
      <c r="B3712" t="s">
        <v>13596</v>
      </c>
      <c r="C3712" t="str">
        <f>""</f>
        <v/>
      </c>
      <c r="D3712" t="str">
        <f>"9783111369914"</f>
        <v>9783111369914</v>
      </c>
      <c r="E3712" t="s">
        <v>350</v>
      </c>
      <c r="F3712" s="1">
        <v>27120</v>
      </c>
      <c r="G3712" t="s">
        <v>13597</v>
      </c>
      <c r="H3712" t="s">
        <v>1753</v>
      </c>
      <c r="L3712" t="s">
        <v>291</v>
      </c>
      <c r="M3712" t="s">
        <v>13598</v>
      </c>
    </row>
    <row r="3713" spans="1:13" x14ac:dyDescent="0.25">
      <c r="A3713">
        <v>7015262</v>
      </c>
      <c r="B3713" t="s">
        <v>13599</v>
      </c>
      <c r="C3713" t="str">
        <f>"9783111317410"</f>
        <v>9783111317410</v>
      </c>
      <c r="D3713" t="str">
        <f>"9783111706849"</f>
        <v>9783111706849</v>
      </c>
      <c r="E3713" t="s">
        <v>350</v>
      </c>
      <c r="F3713" t="s">
        <v>13600</v>
      </c>
      <c r="H3713" t="s">
        <v>288</v>
      </c>
      <c r="L3713" t="s">
        <v>291</v>
      </c>
      <c r="M3713" t="s">
        <v>13601</v>
      </c>
    </row>
    <row r="3714" spans="1:13" x14ac:dyDescent="0.25">
      <c r="A3714">
        <v>7015277</v>
      </c>
      <c r="B3714" t="s">
        <v>13602</v>
      </c>
      <c r="C3714" t="str">
        <f>"9781478015116"</f>
        <v>9781478015116</v>
      </c>
      <c r="D3714" t="str">
        <f>"9781478091806"</f>
        <v>9781478091806</v>
      </c>
      <c r="E3714" t="s">
        <v>3113</v>
      </c>
      <c r="F3714" s="1">
        <v>44601</v>
      </c>
      <c r="G3714" t="s">
        <v>13603</v>
      </c>
      <c r="H3714" t="s">
        <v>70</v>
      </c>
      <c r="I3714" t="s">
        <v>7127</v>
      </c>
      <c r="J3714">
        <v>809.93359999999996</v>
      </c>
      <c r="L3714" t="s">
        <v>20</v>
      </c>
      <c r="M3714" t="s">
        <v>13604</v>
      </c>
    </row>
    <row r="3715" spans="1:13" x14ac:dyDescent="0.25">
      <c r="A3715">
        <v>7015337</v>
      </c>
      <c r="B3715" t="s">
        <v>13605</v>
      </c>
      <c r="C3715" t="str">
        <f>"9789811901232"</f>
        <v>9789811901232</v>
      </c>
      <c r="D3715" t="str">
        <f>"9789811901249"</f>
        <v>9789811901249</v>
      </c>
      <c r="E3715" t="s">
        <v>3313</v>
      </c>
      <c r="F3715" s="1">
        <v>44747</v>
      </c>
      <c r="G3715" t="s">
        <v>13606</v>
      </c>
      <c r="H3715" t="s">
        <v>232</v>
      </c>
      <c r="I3715" t="s">
        <v>13607</v>
      </c>
      <c r="J3715">
        <v>915.04</v>
      </c>
      <c r="L3715" t="s">
        <v>20</v>
      </c>
      <c r="M3715" t="s">
        <v>13608</v>
      </c>
    </row>
    <row r="3716" spans="1:13" x14ac:dyDescent="0.25">
      <c r="A3716">
        <v>7015360</v>
      </c>
      <c r="B3716" t="s">
        <v>13609</v>
      </c>
      <c r="C3716" t="str">
        <f>"9783030943158"</f>
        <v>9783030943158</v>
      </c>
      <c r="D3716" t="str">
        <f>"9783030943165"</f>
        <v>9783030943165</v>
      </c>
      <c r="E3716" t="s">
        <v>2905</v>
      </c>
      <c r="F3716" s="1">
        <v>44763</v>
      </c>
      <c r="G3716" t="s">
        <v>13610</v>
      </c>
      <c r="H3716" t="s">
        <v>64</v>
      </c>
      <c r="I3716" t="s">
        <v>9692</v>
      </c>
      <c r="J3716">
        <v>302.23099999999999</v>
      </c>
      <c r="L3716" t="s">
        <v>20</v>
      </c>
      <c r="M3716" t="s">
        <v>13611</v>
      </c>
    </row>
    <row r="3717" spans="1:13" x14ac:dyDescent="0.25">
      <c r="A3717">
        <v>7015364</v>
      </c>
      <c r="B3717" t="s">
        <v>13612</v>
      </c>
      <c r="C3717" t="str">
        <f>"9789462655300"</f>
        <v>9789462655300</v>
      </c>
      <c r="D3717" t="str">
        <f>"9789462655317"</f>
        <v>9789462655317</v>
      </c>
      <c r="E3717" t="s">
        <v>5216</v>
      </c>
      <c r="F3717" s="1">
        <v>44757</v>
      </c>
      <c r="G3717" t="s">
        <v>13613</v>
      </c>
      <c r="H3717" t="s">
        <v>239</v>
      </c>
      <c r="I3717" t="s">
        <v>5229</v>
      </c>
      <c r="L3717" t="s">
        <v>20</v>
      </c>
      <c r="M3717" t="s">
        <v>13614</v>
      </c>
    </row>
    <row r="3718" spans="1:13" x14ac:dyDescent="0.25">
      <c r="A3718">
        <v>7015379</v>
      </c>
      <c r="B3718" t="s">
        <v>13615</v>
      </c>
      <c r="C3718" t="str">
        <f>""</f>
        <v/>
      </c>
      <c r="D3718" t="str">
        <f>"9783110746877"</f>
        <v>9783110746877</v>
      </c>
      <c r="E3718" t="s">
        <v>350</v>
      </c>
      <c r="F3718" s="1">
        <v>44669</v>
      </c>
      <c r="G3718" t="s">
        <v>13616</v>
      </c>
      <c r="H3718" t="s">
        <v>310</v>
      </c>
      <c r="L3718" t="s">
        <v>291</v>
      </c>
      <c r="M3718" t="s">
        <v>13617</v>
      </c>
    </row>
    <row r="3719" spans="1:13" x14ac:dyDescent="0.25">
      <c r="A3719">
        <v>7015380</v>
      </c>
      <c r="B3719" t="s">
        <v>13618</v>
      </c>
      <c r="C3719" t="str">
        <f>"9783110183818"</f>
        <v>9783110183818</v>
      </c>
      <c r="D3719" t="str">
        <f>"9783110924572"</f>
        <v>9783110924572</v>
      </c>
      <c r="E3719" t="s">
        <v>350</v>
      </c>
      <c r="F3719" s="1">
        <v>39251</v>
      </c>
      <c r="G3719" t="s">
        <v>13619</v>
      </c>
      <c r="H3719" t="s">
        <v>70</v>
      </c>
      <c r="J3719" t="s">
        <v>13620</v>
      </c>
      <c r="L3719" t="s">
        <v>291</v>
      </c>
      <c r="M3719" t="s">
        <v>13621</v>
      </c>
    </row>
    <row r="3720" spans="1:13" x14ac:dyDescent="0.25">
      <c r="A3720">
        <v>7015381</v>
      </c>
      <c r="B3720" t="s">
        <v>13622</v>
      </c>
      <c r="C3720" t="str">
        <f>""</f>
        <v/>
      </c>
      <c r="D3720" t="str">
        <f>"9783110661804"</f>
        <v>9783110661804</v>
      </c>
      <c r="E3720" t="s">
        <v>350</v>
      </c>
      <c r="F3720" s="1">
        <v>44561</v>
      </c>
      <c r="G3720" t="s">
        <v>13623</v>
      </c>
      <c r="H3720" t="s">
        <v>662</v>
      </c>
      <c r="L3720" t="s">
        <v>1279</v>
      </c>
      <c r="M3720" t="s">
        <v>13624</v>
      </c>
    </row>
    <row r="3721" spans="1:13" x14ac:dyDescent="0.25">
      <c r="A3721">
        <v>7015382</v>
      </c>
      <c r="B3721" t="s">
        <v>13625</v>
      </c>
      <c r="C3721" t="str">
        <f>""</f>
        <v/>
      </c>
      <c r="D3721" t="str">
        <f>"9783110751987"</f>
        <v>9783110751987</v>
      </c>
      <c r="E3721" t="s">
        <v>350</v>
      </c>
      <c r="F3721" s="1">
        <v>44669</v>
      </c>
      <c r="G3721" t="s">
        <v>13626</v>
      </c>
      <c r="H3721" t="s">
        <v>64</v>
      </c>
      <c r="J3721">
        <v>302.20938000000001</v>
      </c>
      <c r="L3721" t="s">
        <v>20</v>
      </c>
      <c r="M3721" t="s">
        <v>13627</v>
      </c>
    </row>
    <row r="3722" spans="1:13" x14ac:dyDescent="0.25">
      <c r="A3722">
        <v>7015383</v>
      </c>
      <c r="B3722" t="s">
        <v>13628</v>
      </c>
      <c r="C3722" t="str">
        <f>""</f>
        <v/>
      </c>
      <c r="D3722" t="str">
        <f>"9783110733853"</f>
        <v>9783110733853</v>
      </c>
      <c r="E3722" t="s">
        <v>270</v>
      </c>
      <c r="F3722" s="1">
        <v>44718</v>
      </c>
      <c r="G3722" t="s">
        <v>13629</v>
      </c>
      <c r="H3722" t="s">
        <v>851</v>
      </c>
      <c r="J3722">
        <v>499.12</v>
      </c>
      <c r="L3722" t="s">
        <v>20</v>
      </c>
      <c r="M3722" t="s">
        <v>13630</v>
      </c>
    </row>
    <row r="3723" spans="1:13" x14ac:dyDescent="0.25">
      <c r="A3723">
        <v>7015384</v>
      </c>
      <c r="B3723" t="s">
        <v>13631</v>
      </c>
      <c r="C3723" t="str">
        <f>""</f>
        <v/>
      </c>
      <c r="D3723" t="str">
        <f>"9783110703245"</f>
        <v>9783110703245</v>
      </c>
      <c r="E3723" t="s">
        <v>270</v>
      </c>
      <c r="F3723" s="1">
        <v>44627</v>
      </c>
      <c r="G3723" t="s">
        <v>13632</v>
      </c>
      <c r="H3723" t="s">
        <v>851</v>
      </c>
      <c r="J3723" t="s">
        <v>13633</v>
      </c>
      <c r="L3723" t="s">
        <v>20</v>
      </c>
      <c r="M3723" t="s">
        <v>13634</v>
      </c>
    </row>
    <row r="3724" spans="1:13" x14ac:dyDescent="0.25">
      <c r="A3724">
        <v>7015385</v>
      </c>
      <c r="B3724" t="s">
        <v>13635</v>
      </c>
      <c r="C3724" t="str">
        <f>""</f>
        <v/>
      </c>
      <c r="D3724" t="str">
        <f>"9783110770209"</f>
        <v>9783110770209</v>
      </c>
      <c r="E3724" t="s">
        <v>350</v>
      </c>
      <c r="F3724" s="1">
        <v>44718</v>
      </c>
      <c r="G3724" t="s">
        <v>13636</v>
      </c>
      <c r="H3724" t="s">
        <v>851</v>
      </c>
      <c r="L3724" t="s">
        <v>291</v>
      </c>
      <c r="M3724" t="s">
        <v>13637</v>
      </c>
    </row>
    <row r="3725" spans="1:13" x14ac:dyDescent="0.25">
      <c r="A3725">
        <v>7015386</v>
      </c>
      <c r="B3725" t="s">
        <v>13638</v>
      </c>
      <c r="C3725" t="str">
        <f>""</f>
        <v/>
      </c>
      <c r="D3725" t="str">
        <f>"9783110745528"</f>
        <v>9783110745528</v>
      </c>
      <c r="E3725" t="s">
        <v>350</v>
      </c>
      <c r="F3725" s="1">
        <v>44655</v>
      </c>
      <c r="G3725" t="s">
        <v>13639</v>
      </c>
      <c r="H3725" t="s">
        <v>13640</v>
      </c>
      <c r="L3725" t="s">
        <v>291</v>
      </c>
      <c r="M3725" t="s">
        <v>13641</v>
      </c>
    </row>
    <row r="3726" spans="1:13" x14ac:dyDescent="0.25">
      <c r="A3726">
        <v>7015387</v>
      </c>
      <c r="B3726" t="s">
        <v>13642</v>
      </c>
      <c r="C3726" t="str">
        <f>""</f>
        <v/>
      </c>
      <c r="D3726" t="str">
        <f>"9783486777277"</f>
        <v>9783486777277</v>
      </c>
      <c r="E3726" t="s">
        <v>350</v>
      </c>
      <c r="F3726" s="1">
        <v>18629</v>
      </c>
      <c r="G3726" t="s">
        <v>13643</v>
      </c>
      <c r="H3726" t="s">
        <v>363</v>
      </c>
      <c r="L3726" t="s">
        <v>291</v>
      </c>
      <c r="M3726" t="s">
        <v>13644</v>
      </c>
    </row>
    <row r="3727" spans="1:13" x14ac:dyDescent="0.25">
      <c r="A3727">
        <v>7015389</v>
      </c>
      <c r="B3727" t="s">
        <v>13645</v>
      </c>
      <c r="C3727" t="str">
        <f>""</f>
        <v/>
      </c>
      <c r="D3727" t="str">
        <f>"9783110748703"</f>
        <v>9783110748703</v>
      </c>
      <c r="E3727" t="s">
        <v>350</v>
      </c>
      <c r="F3727" s="1">
        <v>44627</v>
      </c>
      <c r="G3727" t="s">
        <v>13646</v>
      </c>
      <c r="H3727" t="s">
        <v>139</v>
      </c>
      <c r="J3727">
        <v>937.05092000000002</v>
      </c>
      <c r="L3727" t="s">
        <v>20</v>
      </c>
      <c r="M3727" t="s">
        <v>13647</v>
      </c>
    </row>
    <row r="3728" spans="1:13" x14ac:dyDescent="0.25">
      <c r="A3728">
        <v>7015390</v>
      </c>
      <c r="B3728" t="s">
        <v>13648</v>
      </c>
      <c r="C3728" t="str">
        <f>""</f>
        <v/>
      </c>
      <c r="D3728" t="str">
        <f>"9783110751734"</f>
        <v>9783110751734</v>
      </c>
      <c r="E3728" t="s">
        <v>350</v>
      </c>
      <c r="F3728" s="1">
        <v>44627</v>
      </c>
      <c r="G3728" t="s">
        <v>13649</v>
      </c>
      <c r="H3728" t="s">
        <v>851</v>
      </c>
      <c r="L3728" t="s">
        <v>4340</v>
      </c>
      <c r="M3728" t="s">
        <v>13650</v>
      </c>
    </row>
    <row r="3729" spans="1:13" x14ac:dyDescent="0.25">
      <c r="A3729">
        <v>7015391</v>
      </c>
      <c r="B3729" t="s">
        <v>13651</v>
      </c>
      <c r="C3729" t="str">
        <f>""</f>
        <v/>
      </c>
      <c r="D3729" t="str">
        <f>"9783110732283"</f>
        <v>9783110732283</v>
      </c>
      <c r="E3729" t="s">
        <v>350</v>
      </c>
      <c r="F3729" s="1">
        <v>44592</v>
      </c>
      <c r="G3729" t="s">
        <v>13652</v>
      </c>
      <c r="H3729" t="s">
        <v>139</v>
      </c>
      <c r="L3729" t="s">
        <v>291</v>
      </c>
      <c r="M3729" t="s">
        <v>13653</v>
      </c>
    </row>
    <row r="3730" spans="1:13" x14ac:dyDescent="0.25">
      <c r="A3730">
        <v>7015392</v>
      </c>
      <c r="B3730" t="s">
        <v>13654</v>
      </c>
      <c r="C3730" t="str">
        <f>""</f>
        <v/>
      </c>
      <c r="D3730" t="str">
        <f>"9783110758948"</f>
        <v>9783110758948</v>
      </c>
      <c r="E3730" t="s">
        <v>350</v>
      </c>
      <c r="F3730" s="1">
        <v>44718</v>
      </c>
      <c r="G3730" t="s">
        <v>13655</v>
      </c>
      <c r="H3730" t="s">
        <v>851</v>
      </c>
      <c r="L3730" t="s">
        <v>291</v>
      </c>
      <c r="M3730" t="s">
        <v>13656</v>
      </c>
    </row>
    <row r="3731" spans="1:13" x14ac:dyDescent="0.25">
      <c r="A3731">
        <v>7015394</v>
      </c>
      <c r="B3731" t="s">
        <v>13657</v>
      </c>
      <c r="C3731" t="str">
        <f>""</f>
        <v/>
      </c>
      <c r="D3731" t="str">
        <f>"9783110749472"</f>
        <v>9783110749472</v>
      </c>
      <c r="E3731" t="s">
        <v>350</v>
      </c>
      <c r="F3731" s="1">
        <v>44592</v>
      </c>
      <c r="G3731" t="s">
        <v>13658</v>
      </c>
      <c r="H3731" t="s">
        <v>239</v>
      </c>
      <c r="J3731">
        <v>346.24082170285402</v>
      </c>
      <c r="L3731" t="s">
        <v>20</v>
      </c>
      <c r="M3731" t="s">
        <v>13659</v>
      </c>
    </row>
    <row r="3732" spans="1:13" x14ac:dyDescent="0.25">
      <c r="A3732">
        <v>7015395</v>
      </c>
      <c r="B3732" t="s">
        <v>13660</v>
      </c>
      <c r="C3732" t="str">
        <f>""</f>
        <v/>
      </c>
      <c r="D3732" t="str">
        <f>"9783110723991"</f>
        <v>9783110723991</v>
      </c>
      <c r="E3732" t="s">
        <v>350</v>
      </c>
      <c r="F3732" s="1">
        <v>44733</v>
      </c>
      <c r="G3732" t="s">
        <v>13661</v>
      </c>
      <c r="H3732" t="s">
        <v>2293</v>
      </c>
      <c r="J3732">
        <v>1.3028500000000001</v>
      </c>
      <c r="L3732" t="s">
        <v>20</v>
      </c>
      <c r="M3732" t="s">
        <v>13662</v>
      </c>
    </row>
    <row r="3733" spans="1:13" x14ac:dyDescent="0.25">
      <c r="A3733">
        <v>7015396</v>
      </c>
      <c r="B3733" t="s">
        <v>13663</v>
      </c>
      <c r="C3733" t="str">
        <f>""</f>
        <v/>
      </c>
      <c r="D3733" t="str">
        <f>"9783110760200"</f>
        <v>9783110760200</v>
      </c>
      <c r="E3733" t="s">
        <v>350</v>
      </c>
      <c r="F3733" s="1">
        <v>44592</v>
      </c>
      <c r="G3733" t="s">
        <v>13664</v>
      </c>
      <c r="H3733" t="s">
        <v>3047</v>
      </c>
      <c r="L3733" t="s">
        <v>291</v>
      </c>
      <c r="M3733" t="s">
        <v>13665</v>
      </c>
    </row>
    <row r="3734" spans="1:13" x14ac:dyDescent="0.25">
      <c r="A3734">
        <v>7015397</v>
      </c>
      <c r="B3734" t="s">
        <v>13666</v>
      </c>
      <c r="C3734" t="str">
        <f>""</f>
        <v/>
      </c>
      <c r="D3734" t="str">
        <f>"9783110749823"</f>
        <v>9783110749823</v>
      </c>
      <c r="E3734" t="s">
        <v>350</v>
      </c>
      <c r="F3734" s="1">
        <v>44613</v>
      </c>
      <c r="G3734" t="s">
        <v>13667</v>
      </c>
      <c r="H3734" t="s">
        <v>139</v>
      </c>
      <c r="J3734">
        <v>951.03</v>
      </c>
      <c r="L3734" t="s">
        <v>20</v>
      </c>
      <c r="M3734" t="s">
        <v>13668</v>
      </c>
    </row>
    <row r="3735" spans="1:13" x14ac:dyDescent="0.25">
      <c r="A3735">
        <v>7015398</v>
      </c>
      <c r="B3735" t="s">
        <v>13669</v>
      </c>
      <c r="C3735" t="str">
        <f>""</f>
        <v/>
      </c>
      <c r="D3735" t="str">
        <f>"9783110536539"</f>
        <v>9783110536539</v>
      </c>
      <c r="E3735" t="s">
        <v>350</v>
      </c>
      <c r="F3735" s="1">
        <v>44613</v>
      </c>
      <c r="G3735" t="s">
        <v>13670</v>
      </c>
      <c r="H3735" t="s">
        <v>2293</v>
      </c>
      <c r="J3735">
        <v>1.3028500000000001</v>
      </c>
      <c r="L3735" t="s">
        <v>20</v>
      </c>
      <c r="M3735" t="s">
        <v>13671</v>
      </c>
    </row>
    <row r="3736" spans="1:13" x14ac:dyDescent="0.25">
      <c r="A3736">
        <v>7015399</v>
      </c>
      <c r="B3736" t="s">
        <v>13672</v>
      </c>
      <c r="C3736" t="str">
        <f>""</f>
        <v/>
      </c>
      <c r="D3736" t="str">
        <f>"9783110758603"</f>
        <v>9783110758603</v>
      </c>
      <c r="E3736" t="s">
        <v>350</v>
      </c>
      <c r="F3736" s="1">
        <v>44550</v>
      </c>
      <c r="G3736" t="s">
        <v>13673</v>
      </c>
      <c r="H3736" t="s">
        <v>7641</v>
      </c>
      <c r="L3736" t="s">
        <v>291</v>
      </c>
      <c r="M3736" t="s">
        <v>13674</v>
      </c>
    </row>
    <row r="3737" spans="1:13" x14ac:dyDescent="0.25">
      <c r="A3737">
        <v>7015400</v>
      </c>
      <c r="B3737" t="s">
        <v>13675</v>
      </c>
      <c r="C3737" t="str">
        <f>""</f>
        <v/>
      </c>
      <c r="D3737" t="str">
        <f>"9783486774382"</f>
        <v>9783486774382</v>
      </c>
      <c r="E3737" t="s">
        <v>350</v>
      </c>
      <c r="F3737" s="1">
        <v>43617</v>
      </c>
      <c r="G3737" t="s">
        <v>12769</v>
      </c>
      <c r="H3737" t="s">
        <v>139</v>
      </c>
      <c r="L3737" t="s">
        <v>291</v>
      </c>
      <c r="M3737" t="s">
        <v>13676</v>
      </c>
    </row>
    <row r="3738" spans="1:13" x14ac:dyDescent="0.25">
      <c r="A3738">
        <v>7015401</v>
      </c>
      <c r="B3738" t="s">
        <v>13677</v>
      </c>
      <c r="C3738" t="str">
        <f>""</f>
        <v/>
      </c>
      <c r="D3738" t="str">
        <f>"9783110730104"</f>
        <v>9783110730104</v>
      </c>
      <c r="E3738" t="s">
        <v>350</v>
      </c>
      <c r="F3738" s="1">
        <v>44561</v>
      </c>
      <c r="G3738" t="s">
        <v>13678</v>
      </c>
      <c r="H3738" t="s">
        <v>139</v>
      </c>
      <c r="J3738">
        <v>948</v>
      </c>
      <c r="L3738" t="s">
        <v>20</v>
      </c>
      <c r="M3738" t="s">
        <v>13679</v>
      </c>
    </row>
    <row r="3739" spans="1:13" x14ac:dyDescent="0.25">
      <c r="A3739">
        <v>7015402</v>
      </c>
      <c r="B3739" t="s">
        <v>13680</v>
      </c>
      <c r="C3739" t="str">
        <f>""</f>
        <v/>
      </c>
      <c r="D3739" t="str">
        <f>"9783110614787"</f>
        <v>9783110614787</v>
      </c>
      <c r="E3739" t="s">
        <v>350</v>
      </c>
      <c r="F3739" s="1">
        <v>43774</v>
      </c>
      <c r="G3739" t="s">
        <v>13681</v>
      </c>
      <c r="H3739" t="s">
        <v>13682</v>
      </c>
      <c r="L3739" t="s">
        <v>20</v>
      </c>
      <c r="M3739" t="s">
        <v>13683</v>
      </c>
    </row>
    <row r="3740" spans="1:13" x14ac:dyDescent="0.25">
      <c r="A3740">
        <v>7015403</v>
      </c>
      <c r="B3740" t="s">
        <v>13684</v>
      </c>
      <c r="C3740" t="str">
        <f>""</f>
        <v/>
      </c>
      <c r="D3740" t="str">
        <f>"9783110749496"</f>
        <v>9783110749496</v>
      </c>
      <c r="E3740" t="s">
        <v>350</v>
      </c>
      <c r="F3740" s="1">
        <v>44627</v>
      </c>
      <c r="G3740" t="s">
        <v>13685</v>
      </c>
      <c r="H3740" t="s">
        <v>139</v>
      </c>
      <c r="L3740" t="s">
        <v>291</v>
      </c>
      <c r="M3740" t="s">
        <v>13686</v>
      </c>
    </row>
    <row r="3741" spans="1:13" x14ac:dyDescent="0.25">
      <c r="A3741">
        <v>7015404</v>
      </c>
      <c r="B3741" t="s">
        <v>13687</v>
      </c>
      <c r="C3741" t="str">
        <f>""</f>
        <v/>
      </c>
      <c r="D3741" t="str">
        <f>"9783110701876"</f>
        <v>9783110701876</v>
      </c>
      <c r="E3741" t="s">
        <v>350</v>
      </c>
      <c r="F3741" s="1">
        <v>44585</v>
      </c>
      <c r="G3741" t="s">
        <v>13688</v>
      </c>
      <c r="H3741" t="s">
        <v>64</v>
      </c>
      <c r="J3741">
        <v>304.2</v>
      </c>
      <c r="L3741" t="s">
        <v>20</v>
      </c>
      <c r="M3741" t="s">
        <v>13689</v>
      </c>
    </row>
    <row r="3742" spans="1:13" x14ac:dyDescent="0.25">
      <c r="A3742">
        <v>7015405</v>
      </c>
      <c r="B3742" t="s">
        <v>13690</v>
      </c>
      <c r="C3742" t="str">
        <f>""</f>
        <v/>
      </c>
      <c r="D3742" t="str">
        <f>"9783110758825"</f>
        <v>9783110758825</v>
      </c>
      <c r="E3742" t="s">
        <v>350</v>
      </c>
      <c r="F3742" s="1">
        <v>44592</v>
      </c>
      <c r="G3742" t="s">
        <v>13691</v>
      </c>
      <c r="H3742" t="s">
        <v>64</v>
      </c>
      <c r="J3742">
        <v>300.10000000000002</v>
      </c>
      <c r="L3742" t="s">
        <v>20</v>
      </c>
      <c r="M3742" t="s">
        <v>13692</v>
      </c>
    </row>
    <row r="3743" spans="1:13" x14ac:dyDescent="0.25">
      <c r="A3743">
        <v>7015406</v>
      </c>
      <c r="B3743" t="s">
        <v>13693</v>
      </c>
      <c r="C3743" t="str">
        <f>""</f>
        <v/>
      </c>
      <c r="D3743" t="str">
        <f>"9783110779837"</f>
        <v>9783110779837</v>
      </c>
      <c r="E3743" t="s">
        <v>350</v>
      </c>
      <c r="F3743" s="1">
        <v>44536</v>
      </c>
      <c r="G3743" t="s">
        <v>13694</v>
      </c>
      <c r="H3743" t="s">
        <v>246</v>
      </c>
      <c r="L3743" t="s">
        <v>291</v>
      </c>
      <c r="M3743" t="s">
        <v>13695</v>
      </c>
    </row>
    <row r="3744" spans="1:13" x14ac:dyDescent="0.25">
      <c r="A3744">
        <v>7015407</v>
      </c>
      <c r="B3744" t="s">
        <v>13696</v>
      </c>
      <c r="C3744" t="str">
        <f>""</f>
        <v/>
      </c>
      <c r="D3744" t="str">
        <f>"9783110766851"</f>
        <v>9783110766851</v>
      </c>
      <c r="E3744" t="s">
        <v>350</v>
      </c>
      <c r="F3744" s="1">
        <v>44627</v>
      </c>
      <c r="G3744" t="s">
        <v>13697</v>
      </c>
      <c r="H3744" t="s">
        <v>851</v>
      </c>
      <c r="L3744" t="s">
        <v>4340</v>
      </c>
      <c r="M3744" t="s">
        <v>13698</v>
      </c>
    </row>
    <row r="3745" spans="1:13" x14ac:dyDescent="0.25">
      <c r="A3745">
        <v>7015408</v>
      </c>
      <c r="B3745" t="s">
        <v>13699</v>
      </c>
      <c r="C3745" t="str">
        <f>""</f>
        <v/>
      </c>
      <c r="D3745" t="str">
        <f>"9783110763942"</f>
        <v>9783110763942</v>
      </c>
      <c r="E3745" t="s">
        <v>350</v>
      </c>
      <c r="F3745" s="1">
        <v>44613</v>
      </c>
      <c r="G3745" t="s">
        <v>13700</v>
      </c>
      <c r="H3745" t="s">
        <v>13701</v>
      </c>
      <c r="L3745" t="s">
        <v>291</v>
      </c>
      <c r="M3745" t="s">
        <v>13702</v>
      </c>
    </row>
    <row r="3746" spans="1:13" x14ac:dyDescent="0.25">
      <c r="A3746">
        <v>7015409</v>
      </c>
      <c r="B3746" t="s">
        <v>13703</v>
      </c>
      <c r="C3746" t="str">
        <f>""</f>
        <v/>
      </c>
      <c r="D3746" t="str">
        <f>"9783110709858"</f>
        <v>9783110709858</v>
      </c>
      <c r="E3746" t="s">
        <v>350</v>
      </c>
      <c r="F3746" s="1">
        <v>44733</v>
      </c>
      <c r="G3746" t="s">
        <v>13704</v>
      </c>
      <c r="H3746" t="s">
        <v>1707</v>
      </c>
      <c r="J3746">
        <v>660.02859999999998</v>
      </c>
      <c r="L3746" t="s">
        <v>20</v>
      </c>
      <c r="M3746" t="s">
        <v>13705</v>
      </c>
    </row>
    <row r="3747" spans="1:13" x14ac:dyDescent="0.25">
      <c r="A3747">
        <v>7015410</v>
      </c>
      <c r="B3747" t="s">
        <v>13706</v>
      </c>
      <c r="C3747" t="str">
        <f>""</f>
        <v/>
      </c>
      <c r="D3747" t="str">
        <f>"9783110757408"</f>
        <v>9783110757408</v>
      </c>
      <c r="E3747" t="s">
        <v>350</v>
      </c>
      <c r="F3747" s="1">
        <v>44561</v>
      </c>
      <c r="G3747" t="s">
        <v>13707</v>
      </c>
      <c r="H3747" t="s">
        <v>139</v>
      </c>
      <c r="L3747" t="s">
        <v>20</v>
      </c>
      <c r="M3747" t="s">
        <v>13708</v>
      </c>
    </row>
    <row r="3748" spans="1:13" x14ac:dyDescent="0.25">
      <c r="A3748">
        <v>7015411</v>
      </c>
      <c r="B3748" t="s">
        <v>13709</v>
      </c>
      <c r="C3748" t="str">
        <f>""</f>
        <v/>
      </c>
      <c r="D3748" t="str">
        <f>"9783110757668"</f>
        <v>9783110757668</v>
      </c>
      <c r="E3748" t="s">
        <v>350</v>
      </c>
      <c r="F3748" s="1">
        <v>44651</v>
      </c>
      <c r="G3748" t="s">
        <v>13710</v>
      </c>
      <c r="H3748" t="s">
        <v>246</v>
      </c>
      <c r="J3748">
        <v>701.03</v>
      </c>
      <c r="L3748" t="s">
        <v>20</v>
      </c>
      <c r="M3748" t="s">
        <v>13711</v>
      </c>
    </row>
    <row r="3749" spans="1:13" x14ac:dyDescent="0.25">
      <c r="A3749">
        <v>7015412</v>
      </c>
      <c r="B3749" t="s">
        <v>13712</v>
      </c>
      <c r="C3749" t="str">
        <f>""</f>
        <v/>
      </c>
      <c r="D3749" t="str">
        <f>"9783110719116"</f>
        <v>9783110719116</v>
      </c>
      <c r="E3749" t="s">
        <v>350</v>
      </c>
      <c r="F3749" s="1">
        <v>44592</v>
      </c>
      <c r="G3749" t="s">
        <v>13713</v>
      </c>
      <c r="H3749" t="s">
        <v>70</v>
      </c>
      <c r="J3749">
        <v>830.80020000000002</v>
      </c>
      <c r="L3749" t="s">
        <v>291</v>
      </c>
      <c r="M3749" t="s">
        <v>13714</v>
      </c>
    </row>
    <row r="3750" spans="1:13" x14ac:dyDescent="0.25">
      <c r="A3750">
        <v>7015413</v>
      </c>
      <c r="B3750" t="s">
        <v>13715</v>
      </c>
      <c r="C3750" t="str">
        <f>""</f>
        <v/>
      </c>
      <c r="D3750" t="str">
        <f>"9783110719055"</f>
        <v>9783110719055</v>
      </c>
      <c r="E3750" t="s">
        <v>350</v>
      </c>
      <c r="F3750" s="1">
        <v>44592</v>
      </c>
      <c r="G3750" t="s">
        <v>13713</v>
      </c>
      <c r="H3750" t="s">
        <v>70</v>
      </c>
      <c r="J3750">
        <v>830.80020000000002</v>
      </c>
      <c r="L3750" t="s">
        <v>291</v>
      </c>
      <c r="M3750" t="s">
        <v>13716</v>
      </c>
    </row>
    <row r="3751" spans="1:13" x14ac:dyDescent="0.25">
      <c r="A3751">
        <v>7015414</v>
      </c>
      <c r="B3751" t="s">
        <v>13717</v>
      </c>
      <c r="C3751" t="str">
        <f>"9783598220302"</f>
        <v>9783598220302</v>
      </c>
      <c r="D3751" t="str">
        <f>"9783598440243"</f>
        <v>9783598440243</v>
      </c>
      <c r="E3751" t="s">
        <v>270</v>
      </c>
      <c r="F3751" s="1">
        <v>39071</v>
      </c>
      <c r="G3751" t="s">
        <v>13718</v>
      </c>
      <c r="H3751" t="s">
        <v>272</v>
      </c>
      <c r="I3751" t="s">
        <v>13719</v>
      </c>
      <c r="L3751" t="s">
        <v>20</v>
      </c>
      <c r="M3751" t="s">
        <v>13720</v>
      </c>
    </row>
    <row r="3752" spans="1:13" x14ac:dyDescent="0.25">
      <c r="A3752">
        <v>7015415</v>
      </c>
      <c r="B3752" t="s">
        <v>13721</v>
      </c>
      <c r="C3752" t="str">
        <f>""</f>
        <v/>
      </c>
      <c r="D3752" t="str">
        <f>"9783110706611"</f>
        <v>9783110706611</v>
      </c>
      <c r="E3752" t="s">
        <v>350</v>
      </c>
      <c r="F3752" s="1">
        <v>44684</v>
      </c>
      <c r="G3752" t="s">
        <v>13722</v>
      </c>
      <c r="H3752" t="s">
        <v>16</v>
      </c>
      <c r="J3752">
        <v>193</v>
      </c>
      <c r="L3752" t="s">
        <v>20</v>
      </c>
      <c r="M3752" t="s">
        <v>13723</v>
      </c>
    </row>
    <row r="3753" spans="1:13" x14ac:dyDescent="0.25">
      <c r="A3753">
        <v>7015416</v>
      </c>
      <c r="B3753" t="s">
        <v>13724</v>
      </c>
      <c r="C3753" t="str">
        <f>""</f>
        <v/>
      </c>
      <c r="D3753" t="str">
        <f>"9783110707816"</f>
        <v>9783110707816</v>
      </c>
      <c r="E3753" t="s">
        <v>350</v>
      </c>
      <c r="F3753" s="1">
        <v>44718</v>
      </c>
      <c r="G3753" t="s">
        <v>13725</v>
      </c>
      <c r="H3753" t="s">
        <v>246</v>
      </c>
      <c r="J3753">
        <v>791.43655609400003</v>
      </c>
      <c r="L3753" t="s">
        <v>20</v>
      </c>
      <c r="M3753" t="s">
        <v>13726</v>
      </c>
    </row>
    <row r="3754" spans="1:13" x14ac:dyDescent="0.25">
      <c r="A3754">
        <v>7015417</v>
      </c>
      <c r="B3754" t="s">
        <v>13727</v>
      </c>
      <c r="C3754" t="str">
        <f>""</f>
        <v/>
      </c>
      <c r="D3754" t="str">
        <f>"9783110764734"</f>
        <v>9783110764734</v>
      </c>
      <c r="E3754" t="s">
        <v>350</v>
      </c>
      <c r="F3754" s="1">
        <v>44565</v>
      </c>
      <c r="G3754" t="s">
        <v>13728</v>
      </c>
      <c r="H3754" t="s">
        <v>246</v>
      </c>
      <c r="J3754">
        <v>709.37</v>
      </c>
      <c r="L3754" t="s">
        <v>20</v>
      </c>
      <c r="M3754" t="s">
        <v>13729</v>
      </c>
    </row>
    <row r="3755" spans="1:13" x14ac:dyDescent="0.25">
      <c r="A3755">
        <v>7015418</v>
      </c>
      <c r="B3755" t="s">
        <v>13730</v>
      </c>
      <c r="C3755" t="str">
        <f>""</f>
        <v/>
      </c>
      <c r="D3755" t="str">
        <f>"9783110761658"</f>
        <v>9783110761658</v>
      </c>
      <c r="E3755" t="s">
        <v>350</v>
      </c>
      <c r="F3755" s="1">
        <v>44641</v>
      </c>
      <c r="G3755" t="s">
        <v>13731</v>
      </c>
      <c r="H3755" t="s">
        <v>3669</v>
      </c>
      <c r="L3755" t="s">
        <v>291</v>
      </c>
      <c r="M3755" t="s">
        <v>13732</v>
      </c>
    </row>
    <row r="3756" spans="1:13" x14ac:dyDescent="0.25">
      <c r="A3756">
        <v>7015419</v>
      </c>
      <c r="B3756" t="s">
        <v>13733</v>
      </c>
      <c r="C3756" t="str">
        <f>"9783486588576"</f>
        <v>9783486588576</v>
      </c>
      <c r="D3756" t="str">
        <f>"9783486707465"</f>
        <v>9783486707465</v>
      </c>
      <c r="E3756" t="s">
        <v>350</v>
      </c>
      <c r="F3756" s="1">
        <v>39869</v>
      </c>
      <c r="G3756" t="s">
        <v>13734</v>
      </c>
      <c r="H3756" t="s">
        <v>139</v>
      </c>
      <c r="I3756" t="s">
        <v>13735</v>
      </c>
      <c r="L3756" t="s">
        <v>291</v>
      </c>
      <c r="M3756" t="s">
        <v>13736</v>
      </c>
    </row>
    <row r="3757" spans="1:13" x14ac:dyDescent="0.25">
      <c r="A3757">
        <v>7015420</v>
      </c>
      <c r="B3757" t="s">
        <v>13737</v>
      </c>
      <c r="C3757" t="str">
        <f>""</f>
        <v/>
      </c>
      <c r="D3757" t="str">
        <f>"9783110760828"</f>
        <v>9783110760828</v>
      </c>
      <c r="E3757" t="s">
        <v>350</v>
      </c>
      <c r="F3757" s="1">
        <v>44655</v>
      </c>
      <c r="G3757" t="s">
        <v>13738</v>
      </c>
      <c r="H3757" t="s">
        <v>1098</v>
      </c>
      <c r="L3757" t="s">
        <v>291</v>
      </c>
      <c r="M3757" t="s">
        <v>13739</v>
      </c>
    </row>
    <row r="3758" spans="1:13" x14ac:dyDescent="0.25">
      <c r="A3758">
        <v>7015421</v>
      </c>
      <c r="B3758" t="s">
        <v>13740</v>
      </c>
      <c r="C3758" t="str">
        <f>""</f>
        <v/>
      </c>
      <c r="D3758" t="str">
        <f>"9783110756029"</f>
        <v>9783110756029</v>
      </c>
      <c r="E3758" t="s">
        <v>350</v>
      </c>
      <c r="F3758" s="1">
        <v>44669</v>
      </c>
      <c r="G3758" t="s">
        <v>13741</v>
      </c>
      <c r="H3758" t="s">
        <v>70</v>
      </c>
      <c r="L3758" t="s">
        <v>4340</v>
      </c>
      <c r="M3758" t="s">
        <v>13742</v>
      </c>
    </row>
    <row r="3759" spans="1:13" x14ac:dyDescent="0.25">
      <c r="A3759">
        <v>7015422</v>
      </c>
      <c r="B3759" t="s">
        <v>13743</v>
      </c>
      <c r="C3759" t="str">
        <f>""</f>
        <v/>
      </c>
      <c r="D3759" t="str">
        <f>"9783486757248"</f>
        <v>9783486757248</v>
      </c>
      <c r="E3759" t="s">
        <v>350</v>
      </c>
      <c r="F3759" s="1">
        <v>10594</v>
      </c>
      <c r="G3759" t="s">
        <v>13744</v>
      </c>
      <c r="H3759" t="s">
        <v>16</v>
      </c>
      <c r="L3759" t="s">
        <v>291</v>
      </c>
      <c r="M3759" t="s">
        <v>13745</v>
      </c>
    </row>
    <row r="3760" spans="1:13" x14ac:dyDescent="0.25">
      <c r="A3760">
        <v>7015423</v>
      </c>
      <c r="B3760" t="s">
        <v>13746</v>
      </c>
      <c r="C3760" t="str">
        <f>""</f>
        <v/>
      </c>
      <c r="D3760" t="str">
        <f>"9783486754407"</f>
        <v>9783486754407</v>
      </c>
      <c r="E3760" t="s">
        <v>350</v>
      </c>
      <c r="F3760" s="1">
        <v>9863</v>
      </c>
      <c r="G3760" t="s">
        <v>13747</v>
      </c>
      <c r="H3760" t="s">
        <v>12789</v>
      </c>
      <c r="L3760" t="s">
        <v>291</v>
      </c>
      <c r="M3760" t="s">
        <v>13748</v>
      </c>
    </row>
    <row r="3761" spans="1:13" x14ac:dyDescent="0.25">
      <c r="A3761">
        <v>7015424</v>
      </c>
      <c r="B3761" t="s">
        <v>13749</v>
      </c>
      <c r="C3761" t="str">
        <f>""</f>
        <v/>
      </c>
      <c r="D3761" t="str">
        <f>"9788366675612"</f>
        <v>9788366675612</v>
      </c>
      <c r="E3761" t="s">
        <v>350</v>
      </c>
      <c r="F3761" s="1">
        <v>44613</v>
      </c>
      <c r="G3761" t="s">
        <v>13750</v>
      </c>
      <c r="H3761" t="s">
        <v>64</v>
      </c>
      <c r="J3761">
        <v>302.23099999999999</v>
      </c>
      <c r="L3761" t="s">
        <v>20</v>
      </c>
      <c r="M3761" t="s">
        <v>13751</v>
      </c>
    </row>
    <row r="3762" spans="1:13" x14ac:dyDescent="0.25">
      <c r="A3762">
        <v>7015425</v>
      </c>
      <c r="B3762" t="s">
        <v>13752</v>
      </c>
      <c r="C3762" t="str">
        <f>""</f>
        <v/>
      </c>
      <c r="D3762" t="str">
        <f>"9783110762877"</f>
        <v>9783110762877</v>
      </c>
      <c r="E3762" t="s">
        <v>350</v>
      </c>
      <c r="F3762" s="1">
        <v>44592</v>
      </c>
      <c r="G3762" t="s">
        <v>13753</v>
      </c>
      <c r="H3762" t="s">
        <v>310</v>
      </c>
      <c r="J3762">
        <v>261.20710000000003</v>
      </c>
      <c r="L3762" t="s">
        <v>20</v>
      </c>
      <c r="M3762" t="s">
        <v>13754</v>
      </c>
    </row>
    <row r="3763" spans="1:13" x14ac:dyDescent="0.25">
      <c r="A3763">
        <v>7015426</v>
      </c>
      <c r="B3763" t="s">
        <v>13755</v>
      </c>
      <c r="C3763" t="str">
        <f>""</f>
        <v/>
      </c>
      <c r="D3763" t="str">
        <f>"9783110752748"</f>
        <v>9783110752748</v>
      </c>
      <c r="E3763" t="s">
        <v>350</v>
      </c>
      <c r="F3763" s="1">
        <v>44613</v>
      </c>
      <c r="G3763" t="s">
        <v>13756</v>
      </c>
      <c r="H3763" t="s">
        <v>246</v>
      </c>
      <c r="J3763">
        <v>792.02808908999998</v>
      </c>
      <c r="L3763" t="s">
        <v>20</v>
      </c>
      <c r="M3763" t="s">
        <v>13757</v>
      </c>
    </row>
    <row r="3764" spans="1:13" x14ac:dyDescent="0.25">
      <c r="A3764">
        <v>7015427</v>
      </c>
      <c r="B3764" t="s">
        <v>13758</v>
      </c>
      <c r="C3764" t="str">
        <f>""</f>
        <v/>
      </c>
      <c r="D3764" t="str">
        <f>"9783110746396"</f>
        <v>9783110746396</v>
      </c>
      <c r="E3764" t="s">
        <v>350</v>
      </c>
      <c r="F3764" s="1">
        <v>44704</v>
      </c>
      <c r="G3764" t="s">
        <v>13759</v>
      </c>
      <c r="H3764" t="s">
        <v>1251</v>
      </c>
      <c r="L3764" t="s">
        <v>291</v>
      </c>
      <c r="M3764" t="s">
        <v>13760</v>
      </c>
    </row>
    <row r="3765" spans="1:13" x14ac:dyDescent="0.25">
      <c r="A3765">
        <v>7015428</v>
      </c>
      <c r="B3765" t="s">
        <v>13761</v>
      </c>
      <c r="C3765" t="str">
        <f>""</f>
        <v/>
      </c>
      <c r="D3765" t="str">
        <f>"9783110725339"</f>
        <v>9783110725339</v>
      </c>
      <c r="E3765" t="s">
        <v>350</v>
      </c>
      <c r="F3765" s="1">
        <v>44592</v>
      </c>
      <c r="G3765" t="s">
        <v>13762</v>
      </c>
      <c r="H3765" t="s">
        <v>70</v>
      </c>
      <c r="J3765">
        <v>808.02090199999998</v>
      </c>
      <c r="L3765" t="s">
        <v>20</v>
      </c>
      <c r="M3765" t="s">
        <v>13763</v>
      </c>
    </row>
    <row r="3766" spans="1:13" x14ac:dyDescent="0.25">
      <c r="A3766">
        <v>7015429</v>
      </c>
      <c r="B3766" t="s">
        <v>13764</v>
      </c>
      <c r="C3766" t="str">
        <f>""</f>
        <v/>
      </c>
      <c r="D3766" t="str">
        <f>"9783110784312"</f>
        <v>9783110784312</v>
      </c>
      <c r="E3766" t="s">
        <v>350</v>
      </c>
      <c r="F3766" s="1">
        <v>44733</v>
      </c>
      <c r="G3766" t="s">
        <v>13765</v>
      </c>
      <c r="H3766" t="s">
        <v>1586</v>
      </c>
      <c r="J3766">
        <v>152.4</v>
      </c>
      <c r="L3766" t="s">
        <v>20</v>
      </c>
      <c r="M3766" t="s">
        <v>13766</v>
      </c>
    </row>
    <row r="3767" spans="1:13" x14ac:dyDescent="0.25">
      <c r="A3767">
        <v>7015430</v>
      </c>
      <c r="B3767" t="s">
        <v>13767</v>
      </c>
      <c r="C3767" t="str">
        <f>""</f>
        <v/>
      </c>
      <c r="D3767" t="str">
        <f>"9783110706833"</f>
        <v>9783110706833</v>
      </c>
      <c r="E3767" t="s">
        <v>350</v>
      </c>
      <c r="F3767" s="1">
        <v>44733</v>
      </c>
      <c r="G3767" t="s">
        <v>13768</v>
      </c>
      <c r="H3767" t="s">
        <v>139</v>
      </c>
      <c r="J3767">
        <v>932.2</v>
      </c>
      <c r="L3767" t="s">
        <v>20</v>
      </c>
      <c r="M3767" t="s">
        <v>13769</v>
      </c>
    </row>
    <row r="3768" spans="1:13" x14ac:dyDescent="0.25">
      <c r="A3768">
        <v>7015431</v>
      </c>
      <c r="B3768" t="s">
        <v>13770</v>
      </c>
      <c r="C3768" t="str">
        <f>""</f>
        <v/>
      </c>
      <c r="D3768" t="str">
        <f>"9783110759891"</f>
        <v>9783110759891</v>
      </c>
      <c r="E3768" t="s">
        <v>350</v>
      </c>
      <c r="F3768" s="1">
        <v>44522</v>
      </c>
      <c r="G3768" t="s">
        <v>13771</v>
      </c>
      <c r="H3768" t="s">
        <v>139</v>
      </c>
      <c r="L3768" t="s">
        <v>291</v>
      </c>
      <c r="M3768" t="s">
        <v>13772</v>
      </c>
    </row>
    <row r="3769" spans="1:13" x14ac:dyDescent="0.25">
      <c r="A3769">
        <v>7015432</v>
      </c>
      <c r="B3769" t="s">
        <v>13773</v>
      </c>
      <c r="C3769" t="str">
        <f>""</f>
        <v/>
      </c>
      <c r="D3769" t="str">
        <f>"9783110747171"</f>
        <v>9783110747171</v>
      </c>
      <c r="E3769" t="s">
        <v>350</v>
      </c>
      <c r="F3769" s="1">
        <v>44704</v>
      </c>
      <c r="G3769" t="s">
        <v>13774</v>
      </c>
      <c r="H3769" t="s">
        <v>70</v>
      </c>
      <c r="L3769" t="s">
        <v>291</v>
      </c>
      <c r="M3769" t="s">
        <v>13775</v>
      </c>
    </row>
    <row r="3770" spans="1:13" x14ac:dyDescent="0.25">
      <c r="A3770">
        <v>7015433</v>
      </c>
      <c r="B3770" t="s">
        <v>13776</v>
      </c>
      <c r="C3770" t="str">
        <f>""</f>
        <v/>
      </c>
      <c r="D3770" t="str">
        <f>"9783110732221"</f>
        <v>9783110732221</v>
      </c>
      <c r="E3770" t="s">
        <v>350</v>
      </c>
      <c r="F3770" s="1">
        <v>44550</v>
      </c>
      <c r="G3770" t="s">
        <v>13777</v>
      </c>
      <c r="H3770" t="s">
        <v>851</v>
      </c>
      <c r="L3770" t="s">
        <v>20</v>
      </c>
      <c r="M3770" t="s">
        <v>13778</v>
      </c>
    </row>
    <row r="3771" spans="1:13" x14ac:dyDescent="0.25">
      <c r="A3771">
        <v>7015434</v>
      </c>
      <c r="B3771" t="s">
        <v>13779</v>
      </c>
      <c r="C3771" t="str">
        <f>""</f>
        <v/>
      </c>
      <c r="D3771" t="str">
        <f>"9783110751321"</f>
        <v>9783110751321</v>
      </c>
      <c r="E3771" t="s">
        <v>350</v>
      </c>
      <c r="F3771" s="1">
        <v>44718</v>
      </c>
      <c r="G3771" t="s">
        <v>4351</v>
      </c>
      <c r="H3771" t="s">
        <v>70</v>
      </c>
      <c r="L3771" t="s">
        <v>291</v>
      </c>
      <c r="M3771" t="s">
        <v>13780</v>
      </c>
    </row>
    <row r="3772" spans="1:13" x14ac:dyDescent="0.25">
      <c r="A3772">
        <v>7015435</v>
      </c>
      <c r="B3772" t="s">
        <v>13781</v>
      </c>
      <c r="C3772" t="str">
        <f>""</f>
        <v/>
      </c>
      <c r="D3772" t="str">
        <f>"9783110719109"</f>
        <v>9783110719109</v>
      </c>
      <c r="E3772" t="s">
        <v>350</v>
      </c>
      <c r="F3772" s="1">
        <v>44592</v>
      </c>
      <c r="G3772" t="s">
        <v>13713</v>
      </c>
      <c r="H3772" t="s">
        <v>70</v>
      </c>
      <c r="J3772">
        <v>830.80020000000002</v>
      </c>
      <c r="L3772" t="s">
        <v>291</v>
      </c>
      <c r="M3772" t="s">
        <v>13782</v>
      </c>
    </row>
    <row r="3773" spans="1:13" x14ac:dyDescent="0.25">
      <c r="A3773">
        <v>7015436</v>
      </c>
      <c r="B3773" t="s">
        <v>13783</v>
      </c>
      <c r="C3773" t="str">
        <f>""</f>
        <v/>
      </c>
      <c r="D3773" t="str">
        <f>"9783110719093"</f>
        <v>9783110719093</v>
      </c>
      <c r="E3773" t="s">
        <v>350</v>
      </c>
      <c r="F3773" s="1">
        <v>44592</v>
      </c>
      <c r="G3773" t="s">
        <v>13713</v>
      </c>
      <c r="H3773" t="s">
        <v>70</v>
      </c>
      <c r="J3773">
        <v>830.80020000000002</v>
      </c>
      <c r="L3773" t="s">
        <v>291</v>
      </c>
      <c r="M3773" t="s">
        <v>13784</v>
      </c>
    </row>
    <row r="3774" spans="1:13" x14ac:dyDescent="0.25">
      <c r="A3774">
        <v>7015437</v>
      </c>
      <c r="B3774" t="s">
        <v>13785</v>
      </c>
      <c r="C3774" t="str">
        <f>""</f>
        <v/>
      </c>
      <c r="D3774" t="str">
        <f>"9783110726213"</f>
        <v>9783110726213</v>
      </c>
      <c r="E3774" t="s">
        <v>350</v>
      </c>
      <c r="F3774" s="1">
        <v>44550</v>
      </c>
      <c r="G3774" t="s">
        <v>13786</v>
      </c>
      <c r="H3774" t="s">
        <v>272</v>
      </c>
      <c r="L3774" t="s">
        <v>291</v>
      </c>
      <c r="M3774" t="s">
        <v>13787</v>
      </c>
    </row>
    <row r="3775" spans="1:13" x14ac:dyDescent="0.25">
      <c r="A3775">
        <v>7015438</v>
      </c>
      <c r="B3775" t="s">
        <v>13788</v>
      </c>
      <c r="C3775" t="str">
        <f>""</f>
        <v/>
      </c>
      <c r="D3775" t="str">
        <f>"9783110770506"</f>
        <v>9783110770506</v>
      </c>
      <c r="E3775" t="s">
        <v>350</v>
      </c>
      <c r="F3775" s="1">
        <v>44684</v>
      </c>
      <c r="G3775" t="s">
        <v>13789</v>
      </c>
      <c r="H3775" t="s">
        <v>310</v>
      </c>
      <c r="L3775" t="s">
        <v>291</v>
      </c>
      <c r="M3775" t="s">
        <v>13790</v>
      </c>
    </row>
    <row r="3776" spans="1:13" x14ac:dyDescent="0.25">
      <c r="A3776">
        <v>7015439</v>
      </c>
      <c r="B3776" t="s">
        <v>13791</v>
      </c>
      <c r="C3776" t="str">
        <f>""</f>
        <v/>
      </c>
      <c r="D3776" t="str">
        <f>"9783110751055"</f>
        <v>9783110751055</v>
      </c>
      <c r="E3776" t="s">
        <v>350</v>
      </c>
      <c r="F3776" s="1">
        <v>44729</v>
      </c>
      <c r="G3776" t="s">
        <v>13792</v>
      </c>
      <c r="H3776" t="s">
        <v>246</v>
      </c>
      <c r="L3776" t="s">
        <v>291</v>
      </c>
      <c r="M3776" t="s">
        <v>13793</v>
      </c>
    </row>
    <row r="3777" spans="1:13" x14ac:dyDescent="0.25">
      <c r="A3777">
        <v>7015440</v>
      </c>
      <c r="B3777" t="s">
        <v>13794</v>
      </c>
      <c r="C3777" t="str">
        <f>""</f>
        <v/>
      </c>
      <c r="D3777" t="str">
        <f>"9783110776492"</f>
        <v>9783110776492</v>
      </c>
      <c r="E3777" t="s">
        <v>350</v>
      </c>
      <c r="F3777" s="1">
        <v>44655</v>
      </c>
      <c r="G3777" t="s">
        <v>13795</v>
      </c>
      <c r="H3777" t="s">
        <v>7739</v>
      </c>
      <c r="L3777" t="s">
        <v>20</v>
      </c>
      <c r="M3777" t="s">
        <v>13796</v>
      </c>
    </row>
    <row r="3778" spans="1:13" x14ac:dyDescent="0.25">
      <c r="A3778">
        <v>7015441</v>
      </c>
      <c r="B3778" t="s">
        <v>13797</v>
      </c>
      <c r="C3778" t="str">
        <f>""</f>
        <v/>
      </c>
      <c r="D3778" t="str">
        <f>"9783110719130"</f>
        <v>9783110719130</v>
      </c>
      <c r="E3778" t="s">
        <v>350</v>
      </c>
      <c r="F3778" s="1">
        <v>44592</v>
      </c>
      <c r="G3778" t="s">
        <v>13713</v>
      </c>
      <c r="H3778" t="s">
        <v>70</v>
      </c>
      <c r="J3778">
        <v>830.80020000000002</v>
      </c>
      <c r="L3778" t="s">
        <v>291</v>
      </c>
      <c r="M3778" t="s">
        <v>13798</v>
      </c>
    </row>
    <row r="3779" spans="1:13" x14ac:dyDescent="0.25">
      <c r="A3779">
        <v>7015442</v>
      </c>
      <c r="B3779" t="s">
        <v>13799</v>
      </c>
      <c r="C3779" t="str">
        <f>""</f>
        <v/>
      </c>
      <c r="D3779" t="str">
        <f>"9783110771008"</f>
        <v>9783110771008</v>
      </c>
      <c r="E3779" t="s">
        <v>350</v>
      </c>
      <c r="F3779" s="1">
        <v>44718</v>
      </c>
      <c r="G3779" t="s">
        <v>13800</v>
      </c>
      <c r="H3779" t="s">
        <v>7641</v>
      </c>
      <c r="L3779" t="s">
        <v>291</v>
      </c>
      <c r="M3779" t="s">
        <v>13801</v>
      </c>
    </row>
    <row r="3780" spans="1:13" x14ac:dyDescent="0.25">
      <c r="A3780">
        <v>7015443</v>
      </c>
      <c r="B3780" t="s">
        <v>13802</v>
      </c>
      <c r="C3780" t="str">
        <f>""</f>
        <v/>
      </c>
      <c r="D3780" t="str">
        <f>"9783110719147"</f>
        <v>9783110719147</v>
      </c>
      <c r="E3780" t="s">
        <v>350</v>
      </c>
      <c r="F3780" s="1">
        <v>44592</v>
      </c>
      <c r="G3780" t="s">
        <v>13713</v>
      </c>
      <c r="H3780" t="s">
        <v>70</v>
      </c>
      <c r="J3780">
        <v>830.80020000000002</v>
      </c>
      <c r="L3780" t="s">
        <v>291</v>
      </c>
      <c r="M3780" t="s">
        <v>13803</v>
      </c>
    </row>
    <row r="3781" spans="1:13" x14ac:dyDescent="0.25">
      <c r="A3781">
        <v>7015444</v>
      </c>
      <c r="B3781" t="s">
        <v>13804</v>
      </c>
      <c r="C3781" t="str">
        <f>""</f>
        <v/>
      </c>
      <c r="D3781" t="str">
        <f>"9783422986480"</f>
        <v>9783422986480</v>
      </c>
      <c r="E3781" t="s">
        <v>7656</v>
      </c>
      <c r="F3781" s="1">
        <v>44592</v>
      </c>
      <c r="G3781" t="s">
        <v>12735</v>
      </c>
      <c r="H3781" t="s">
        <v>1137</v>
      </c>
      <c r="L3781" t="s">
        <v>20</v>
      </c>
      <c r="M3781" t="s">
        <v>13805</v>
      </c>
    </row>
    <row r="3782" spans="1:13" x14ac:dyDescent="0.25">
      <c r="A3782">
        <v>7015445</v>
      </c>
      <c r="B3782" t="s">
        <v>13806</v>
      </c>
      <c r="C3782" t="str">
        <f>""</f>
        <v/>
      </c>
      <c r="D3782" t="str">
        <f>"9783110711349"</f>
        <v>9783110711349</v>
      </c>
      <c r="E3782" t="s">
        <v>350</v>
      </c>
      <c r="F3782" s="1">
        <v>44592</v>
      </c>
      <c r="G3782" t="s">
        <v>13807</v>
      </c>
      <c r="H3782" t="s">
        <v>1753</v>
      </c>
      <c r="J3782">
        <v>658.38199999999995</v>
      </c>
      <c r="L3782" t="s">
        <v>20</v>
      </c>
      <c r="M3782" t="s">
        <v>13808</v>
      </c>
    </row>
    <row r="3783" spans="1:13" x14ac:dyDescent="0.25">
      <c r="A3783">
        <v>7015447</v>
      </c>
      <c r="B3783" t="s">
        <v>13809</v>
      </c>
      <c r="C3783" t="str">
        <f>""</f>
        <v/>
      </c>
      <c r="D3783" t="str">
        <f>"9783110552621"</f>
        <v>9783110552621</v>
      </c>
      <c r="E3783" t="s">
        <v>350</v>
      </c>
      <c r="F3783" s="1">
        <v>44592</v>
      </c>
      <c r="G3783" t="s">
        <v>13810</v>
      </c>
      <c r="H3783" t="s">
        <v>70</v>
      </c>
      <c r="J3783">
        <v>830.93820215000005</v>
      </c>
      <c r="L3783" t="s">
        <v>291</v>
      </c>
      <c r="M3783" t="s">
        <v>13811</v>
      </c>
    </row>
    <row r="3784" spans="1:13" x14ac:dyDescent="0.25">
      <c r="A3784">
        <v>7015448</v>
      </c>
      <c r="B3784" t="s">
        <v>13812</v>
      </c>
      <c r="C3784" t="str">
        <f>""</f>
        <v/>
      </c>
      <c r="D3784" t="str">
        <f>"9783110655315"</f>
        <v>9783110655315</v>
      </c>
      <c r="E3784" t="s">
        <v>350</v>
      </c>
      <c r="F3784" s="1">
        <v>44550</v>
      </c>
      <c r="G3784" t="s">
        <v>13813</v>
      </c>
      <c r="H3784" t="s">
        <v>139</v>
      </c>
      <c r="J3784">
        <v>960.072</v>
      </c>
      <c r="L3784" t="s">
        <v>20</v>
      </c>
      <c r="M3784" t="s">
        <v>13814</v>
      </c>
    </row>
    <row r="3785" spans="1:13" x14ac:dyDescent="0.25">
      <c r="A3785">
        <v>7015449</v>
      </c>
      <c r="B3785" t="s">
        <v>13815</v>
      </c>
      <c r="C3785" t="str">
        <f>""</f>
        <v/>
      </c>
      <c r="D3785" t="str">
        <f>"9783110688696"</f>
        <v>9783110688696</v>
      </c>
      <c r="E3785" t="s">
        <v>350</v>
      </c>
      <c r="F3785" s="1">
        <v>44561</v>
      </c>
      <c r="G3785" t="s">
        <v>13816</v>
      </c>
      <c r="H3785" t="s">
        <v>13817</v>
      </c>
      <c r="L3785" t="s">
        <v>291</v>
      </c>
      <c r="M3785" t="s">
        <v>13818</v>
      </c>
    </row>
    <row r="3786" spans="1:13" x14ac:dyDescent="0.25">
      <c r="A3786">
        <v>7015450</v>
      </c>
      <c r="B3786" t="s">
        <v>13819</v>
      </c>
      <c r="C3786" t="str">
        <f>""</f>
        <v/>
      </c>
      <c r="D3786" t="str">
        <f>"9783110719079"</f>
        <v>9783110719079</v>
      </c>
      <c r="E3786" t="s">
        <v>350</v>
      </c>
      <c r="F3786" s="1">
        <v>44592</v>
      </c>
      <c r="G3786" t="s">
        <v>13713</v>
      </c>
      <c r="H3786" t="s">
        <v>70</v>
      </c>
      <c r="J3786">
        <v>830.80020000000002</v>
      </c>
      <c r="L3786" t="s">
        <v>291</v>
      </c>
      <c r="M3786" t="s">
        <v>13820</v>
      </c>
    </row>
    <row r="3787" spans="1:13" x14ac:dyDescent="0.25">
      <c r="A3787">
        <v>7015451</v>
      </c>
      <c r="B3787" t="s">
        <v>13821</v>
      </c>
      <c r="C3787" t="str">
        <f>""</f>
        <v/>
      </c>
      <c r="D3787" t="str">
        <f>"9783110741117"</f>
        <v>9783110741117</v>
      </c>
      <c r="E3787" t="s">
        <v>350</v>
      </c>
      <c r="F3787" s="1">
        <v>44561</v>
      </c>
      <c r="G3787" t="s">
        <v>13822</v>
      </c>
      <c r="H3787" t="s">
        <v>101</v>
      </c>
      <c r="L3787" t="s">
        <v>291</v>
      </c>
      <c r="M3787" t="s">
        <v>13823</v>
      </c>
    </row>
    <row r="3788" spans="1:13" x14ac:dyDescent="0.25">
      <c r="A3788">
        <v>7015453</v>
      </c>
      <c r="B3788" t="s">
        <v>13824</v>
      </c>
      <c r="C3788" t="str">
        <f>""</f>
        <v/>
      </c>
      <c r="D3788" t="str">
        <f>"9783110730210"</f>
        <v>9783110730210</v>
      </c>
      <c r="E3788" t="s">
        <v>350</v>
      </c>
      <c r="F3788" s="1">
        <v>44641</v>
      </c>
      <c r="G3788" t="s">
        <v>13825</v>
      </c>
      <c r="H3788" t="s">
        <v>139</v>
      </c>
      <c r="J3788">
        <v>964.2</v>
      </c>
      <c r="L3788" t="s">
        <v>291</v>
      </c>
      <c r="M3788" t="s">
        <v>13826</v>
      </c>
    </row>
    <row r="3789" spans="1:13" x14ac:dyDescent="0.25">
      <c r="A3789">
        <v>7015454</v>
      </c>
      <c r="B3789" t="s">
        <v>13827</v>
      </c>
      <c r="C3789" t="str">
        <f>""</f>
        <v/>
      </c>
      <c r="D3789" t="str">
        <f>"9783110770957"</f>
        <v>9783110770957</v>
      </c>
      <c r="E3789" t="s">
        <v>350</v>
      </c>
      <c r="F3789" s="1">
        <v>44669</v>
      </c>
      <c r="G3789" t="s">
        <v>13828</v>
      </c>
      <c r="H3789" t="s">
        <v>16</v>
      </c>
      <c r="J3789">
        <v>110</v>
      </c>
      <c r="L3789" t="s">
        <v>20</v>
      </c>
      <c r="M3789" t="s">
        <v>13829</v>
      </c>
    </row>
    <row r="3790" spans="1:13" x14ac:dyDescent="0.25">
      <c r="A3790">
        <v>7015456</v>
      </c>
      <c r="B3790" t="s">
        <v>13830</v>
      </c>
      <c r="C3790" t="str">
        <f>""</f>
        <v/>
      </c>
      <c r="D3790" t="str">
        <f>"9783035624052"</f>
        <v>9783035624052</v>
      </c>
      <c r="E3790" t="s">
        <v>350</v>
      </c>
      <c r="F3790" s="1">
        <v>44651</v>
      </c>
      <c r="G3790" t="s">
        <v>13831</v>
      </c>
      <c r="H3790" t="s">
        <v>806</v>
      </c>
      <c r="J3790">
        <v>720.28402855360002</v>
      </c>
      <c r="L3790" t="s">
        <v>20</v>
      </c>
      <c r="M3790" t="s">
        <v>13832</v>
      </c>
    </row>
    <row r="3791" spans="1:13" x14ac:dyDescent="0.25">
      <c r="A3791">
        <v>7015457</v>
      </c>
      <c r="B3791" t="s">
        <v>13833</v>
      </c>
      <c r="C3791" t="str">
        <f>""</f>
        <v/>
      </c>
      <c r="D3791" t="str">
        <f>"9783110769029"</f>
        <v>9783110769029</v>
      </c>
      <c r="E3791" t="s">
        <v>350</v>
      </c>
      <c r="F3791" s="1">
        <v>44613</v>
      </c>
      <c r="G3791" t="s">
        <v>13834</v>
      </c>
      <c r="H3791" t="s">
        <v>1657</v>
      </c>
      <c r="L3791" t="s">
        <v>291</v>
      </c>
      <c r="M3791" t="s">
        <v>13835</v>
      </c>
    </row>
    <row r="3792" spans="1:13" x14ac:dyDescent="0.25">
      <c r="A3792">
        <v>7015458</v>
      </c>
      <c r="B3792" t="s">
        <v>13836</v>
      </c>
      <c r="C3792" t="str">
        <f>""</f>
        <v/>
      </c>
      <c r="D3792" t="str">
        <f>"9783110733501"</f>
        <v>9783110733501</v>
      </c>
      <c r="E3792" t="s">
        <v>350</v>
      </c>
      <c r="F3792" s="1">
        <v>44718</v>
      </c>
      <c r="G3792" t="s">
        <v>13837</v>
      </c>
      <c r="H3792" t="s">
        <v>139</v>
      </c>
      <c r="J3792">
        <v>940</v>
      </c>
      <c r="L3792" t="s">
        <v>20</v>
      </c>
      <c r="M3792" t="s">
        <v>13838</v>
      </c>
    </row>
    <row r="3793" spans="1:13" x14ac:dyDescent="0.25">
      <c r="A3793">
        <v>7015459</v>
      </c>
      <c r="B3793" t="s">
        <v>13839</v>
      </c>
      <c r="C3793" t="str">
        <f>"9783598218446"</f>
        <v>9783598218446</v>
      </c>
      <c r="D3793" t="str">
        <f>"9783598440168"</f>
        <v>9783598440168</v>
      </c>
      <c r="E3793" t="s">
        <v>270</v>
      </c>
      <c r="F3793" s="1">
        <v>38565</v>
      </c>
      <c r="G3793" t="s">
        <v>13840</v>
      </c>
      <c r="H3793" t="s">
        <v>272</v>
      </c>
      <c r="I3793" t="s">
        <v>13841</v>
      </c>
      <c r="L3793" t="s">
        <v>20</v>
      </c>
      <c r="M3793" t="s">
        <v>13842</v>
      </c>
    </row>
    <row r="3794" spans="1:13" x14ac:dyDescent="0.25">
      <c r="A3794">
        <v>7015460</v>
      </c>
      <c r="B3794" t="s">
        <v>13843</v>
      </c>
      <c r="C3794" t="str">
        <f>""</f>
        <v/>
      </c>
      <c r="D3794" t="str">
        <f>"9783110775730"</f>
        <v>9783110775730</v>
      </c>
      <c r="E3794" t="s">
        <v>350</v>
      </c>
      <c r="F3794" s="1">
        <v>44655</v>
      </c>
      <c r="G3794" t="s">
        <v>13844</v>
      </c>
      <c r="H3794" t="s">
        <v>13845</v>
      </c>
      <c r="L3794" t="s">
        <v>291</v>
      </c>
      <c r="M3794" t="s">
        <v>13846</v>
      </c>
    </row>
    <row r="3795" spans="1:13" x14ac:dyDescent="0.25">
      <c r="A3795">
        <v>7015461</v>
      </c>
      <c r="B3795" t="s">
        <v>13847</v>
      </c>
      <c r="C3795" t="str">
        <f>""</f>
        <v/>
      </c>
      <c r="D3795" t="str">
        <f>"9783110761108"</f>
        <v>9783110761108</v>
      </c>
      <c r="E3795" t="s">
        <v>350</v>
      </c>
      <c r="F3795" s="1">
        <v>44561</v>
      </c>
      <c r="G3795" t="s">
        <v>13848</v>
      </c>
      <c r="H3795" t="s">
        <v>239</v>
      </c>
      <c r="L3795" t="s">
        <v>20</v>
      </c>
      <c r="M3795" t="s">
        <v>13849</v>
      </c>
    </row>
    <row r="3796" spans="1:13" x14ac:dyDescent="0.25">
      <c r="A3796">
        <v>7015462</v>
      </c>
      <c r="B3796" t="s">
        <v>13850</v>
      </c>
      <c r="C3796" t="str">
        <f>""</f>
        <v/>
      </c>
      <c r="D3796" t="str">
        <f>"9783486741803"</f>
        <v>9783486741803</v>
      </c>
      <c r="E3796" t="s">
        <v>350</v>
      </c>
      <c r="F3796" s="1">
        <v>4750</v>
      </c>
      <c r="G3796" t="s">
        <v>13851</v>
      </c>
      <c r="H3796" t="s">
        <v>12789</v>
      </c>
      <c r="L3796" t="s">
        <v>291</v>
      </c>
      <c r="M3796" t="s">
        <v>13852</v>
      </c>
    </row>
    <row r="3797" spans="1:13" x14ac:dyDescent="0.25">
      <c r="A3797">
        <v>7015463</v>
      </c>
      <c r="B3797" t="s">
        <v>13853</v>
      </c>
      <c r="C3797" t="str">
        <f>""</f>
        <v/>
      </c>
      <c r="D3797" t="str">
        <f>"9783110714739"</f>
        <v>9783110714739</v>
      </c>
      <c r="E3797" t="s">
        <v>350</v>
      </c>
      <c r="F3797" s="1">
        <v>44620</v>
      </c>
      <c r="G3797" t="s">
        <v>13854</v>
      </c>
      <c r="H3797" t="s">
        <v>689</v>
      </c>
      <c r="L3797" t="s">
        <v>20</v>
      </c>
      <c r="M3797" t="s">
        <v>13855</v>
      </c>
    </row>
    <row r="3798" spans="1:13" x14ac:dyDescent="0.25">
      <c r="A3798">
        <v>7015464</v>
      </c>
      <c r="B3798" t="s">
        <v>13856</v>
      </c>
      <c r="C3798" t="str">
        <f>""</f>
        <v/>
      </c>
      <c r="D3798" t="str">
        <f>"9783110762341"</f>
        <v>9783110762341</v>
      </c>
      <c r="E3798" t="s">
        <v>350</v>
      </c>
      <c r="F3798" s="1">
        <v>44613</v>
      </c>
      <c r="G3798" t="s">
        <v>13857</v>
      </c>
      <c r="H3798" t="s">
        <v>851</v>
      </c>
      <c r="L3798" t="s">
        <v>291</v>
      </c>
      <c r="M3798" t="s">
        <v>13858</v>
      </c>
    </row>
    <row r="3799" spans="1:13" x14ac:dyDescent="0.25">
      <c r="A3799">
        <v>7015465</v>
      </c>
      <c r="B3799" t="s">
        <v>13859</v>
      </c>
      <c r="C3799" t="str">
        <f>""</f>
        <v/>
      </c>
      <c r="D3799" t="str">
        <f>"9783110667004"</f>
        <v>9783110667004</v>
      </c>
      <c r="E3799" t="s">
        <v>350</v>
      </c>
      <c r="F3799" s="1">
        <v>44550</v>
      </c>
      <c r="G3799" t="s">
        <v>13860</v>
      </c>
      <c r="H3799" t="s">
        <v>2902</v>
      </c>
      <c r="L3799" t="s">
        <v>291</v>
      </c>
      <c r="M3799" t="s">
        <v>13861</v>
      </c>
    </row>
    <row r="3800" spans="1:13" x14ac:dyDescent="0.25">
      <c r="A3800">
        <v>7015466</v>
      </c>
      <c r="B3800" t="s">
        <v>13862</v>
      </c>
      <c r="C3800" t="str">
        <f>""</f>
        <v/>
      </c>
      <c r="D3800" t="str">
        <f>"9783110752397"</f>
        <v>9783110752397</v>
      </c>
      <c r="E3800" t="s">
        <v>350</v>
      </c>
      <c r="F3800" s="1">
        <v>44592</v>
      </c>
      <c r="G3800" t="s">
        <v>13863</v>
      </c>
      <c r="H3800" t="s">
        <v>16</v>
      </c>
      <c r="J3800">
        <v>115</v>
      </c>
      <c r="L3800" t="s">
        <v>20</v>
      </c>
      <c r="M3800" t="s">
        <v>13864</v>
      </c>
    </row>
    <row r="3801" spans="1:13" x14ac:dyDescent="0.25">
      <c r="A3801">
        <v>7015467</v>
      </c>
      <c r="B3801" t="s">
        <v>13865</v>
      </c>
      <c r="C3801" t="str">
        <f>""</f>
        <v/>
      </c>
      <c r="D3801" t="str">
        <f>"9783110719062"</f>
        <v>9783110719062</v>
      </c>
      <c r="E3801" t="s">
        <v>350</v>
      </c>
      <c r="F3801" s="1">
        <v>44592</v>
      </c>
      <c r="G3801" t="s">
        <v>13713</v>
      </c>
      <c r="H3801" t="s">
        <v>70</v>
      </c>
      <c r="J3801">
        <v>830.80020000000002</v>
      </c>
      <c r="L3801" t="s">
        <v>291</v>
      </c>
      <c r="M3801" t="s">
        <v>13866</v>
      </c>
    </row>
    <row r="3802" spans="1:13" x14ac:dyDescent="0.25">
      <c r="A3802">
        <v>7015468</v>
      </c>
      <c r="B3802" t="s">
        <v>13867</v>
      </c>
      <c r="C3802" t="str">
        <f>""</f>
        <v/>
      </c>
      <c r="D3802" t="str">
        <f>"9783110736076"</f>
        <v>9783110736076</v>
      </c>
      <c r="E3802" t="s">
        <v>350</v>
      </c>
      <c r="F3802" s="1">
        <v>44718</v>
      </c>
      <c r="G3802" t="s">
        <v>13868</v>
      </c>
      <c r="H3802" t="s">
        <v>5777</v>
      </c>
      <c r="J3802">
        <v>529.09379999999999</v>
      </c>
      <c r="L3802" t="s">
        <v>20</v>
      </c>
      <c r="M3802" t="s">
        <v>13869</v>
      </c>
    </row>
    <row r="3803" spans="1:13" x14ac:dyDescent="0.25">
      <c r="A3803">
        <v>7015469</v>
      </c>
      <c r="B3803" t="s">
        <v>13870</v>
      </c>
      <c r="C3803" t="str">
        <f>""</f>
        <v/>
      </c>
      <c r="D3803" t="str">
        <f>"9783110707847"</f>
        <v>9783110707847</v>
      </c>
      <c r="E3803" t="s">
        <v>350</v>
      </c>
      <c r="F3803" s="1">
        <v>44561</v>
      </c>
      <c r="G3803" t="s">
        <v>13871</v>
      </c>
      <c r="H3803" t="s">
        <v>70</v>
      </c>
      <c r="L3803" t="s">
        <v>291</v>
      </c>
      <c r="M3803" t="s">
        <v>13872</v>
      </c>
    </row>
    <row r="3804" spans="1:13" x14ac:dyDescent="0.25">
      <c r="A3804">
        <v>7015471</v>
      </c>
      <c r="B3804" t="s">
        <v>13873</v>
      </c>
      <c r="C3804" t="str">
        <f>""</f>
        <v/>
      </c>
      <c r="D3804" t="str">
        <f>"9783110747614"</f>
        <v>9783110747614</v>
      </c>
      <c r="E3804" t="s">
        <v>350</v>
      </c>
      <c r="F3804" s="1">
        <v>44620</v>
      </c>
      <c r="G3804" t="s">
        <v>13874</v>
      </c>
      <c r="H3804" t="s">
        <v>13875</v>
      </c>
      <c r="L3804" t="s">
        <v>291</v>
      </c>
      <c r="M3804" t="s">
        <v>13876</v>
      </c>
    </row>
    <row r="3805" spans="1:13" x14ac:dyDescent="0.25">
      <c r="A3805">
        <v>7015472</v>
      </c>
      <c r="B3805" t="s">
        <v>13877</v>
      </c>
      <c r="C3805" t="str">
        <f>""</f>
        <v/>
      </c>
      <c r="D3805" t="str">
        <f>"9783110752908"</f>
        <v>9783110752908</v>
      </c>
      <c r="E3805" t="s">
        <v>350</v>
      </c>
      <c r="F3805" s="1">
        <v>44704</v>
      </c>
      <c r="G3805" t="s">
        <v>13878</v>
      </c>
      <c r="H3805" t="s">
        <v>310</v>
      </c>
      <c r="J3805">
        <v>227.107</v>
      </c>
      <c r="L3805" t="s">
        <v>20</v>
      </c>
      <c r="M3805" t="s">
        <v>13879</v>
      </c>
    </row>
    <row r="3806" spans="1:13" x14ac:dyDescent="0.25">
      <c r="A3806">
        <v>7015473</v>
      </c>
      <c r="B3806" t="s">
        <v>13880</v>
      </c>
      <c r="C3806" t="str">
        <f>""</f>
        <v/>
      </c>
      <c r="D3806" t="str">
        <f>"9783110763119"</f>
        <v>9783110763119</v>
      </c>
      <c r="E3806" t="s">
        <v>350</v>
      </c>
      <c r="F3806" s="1">
        <v>44550</v>
      </c>
      <c r="G3806" t="s">
        <v>13881</v>
      </c>
      <c r="H3806" t="s">
        <v>7945</v>
      </c>
      <c r="L3806" t="s">
        <v>291</v>
      </c>
      <c r="M3806" t="s">
        <v>13882</v>
      </c>
    </row>
    <row r="3807" spans="1:13" x14ac:dyDescent="0.25">
      <c r="A3807">
        <v>7015474</v>
      </c>
      <c r="B3807" t="s">
        <v>13883</v>
      </c>
      <c r="C3807" t="str">
        <f>""</f>
        <v/>
      </c>
      <c r="D3807" t="str">
        <f>"9783110719123"</f>
        <v>9783110719123</v>
      </c>
      <c r="E3807" t="s">
        <v>350</v>
      </c>
      <c r="F3807" s="1">
        <v>44592</v>
      </c>
      <c r="G3807" t="s">
        <v>13713</v>
      </c>
      <c r="H3807" t="s">
        <v>70</v>
      </c>
      <c r="J3807">
        <v>830.80020000000002</v>
      </c>
      <c r="L3807" t="s">
        <v>291</v>
      </c>
      <c r="M3807" t="s">
        <v>13884</v>
      </c>
    </row>
    <row r="3808" spans="1:13" x14ac:dyDescent="0.25">
      <c r="A3808">
        <v>7015475</v>
      </c>
      <c r="B3808" t="s">
        <v>13885</v>
      </c>
      <c r="C3808" t="str">
        <f>""</f>
        <v/>
      </c>
      <c r="D3808" t="str">
        <f>"9783110719017"</f>
        <v>9783110719017</v>
      </c>
      <c r="E3808" t="s">
        <v>350</v>
      </c>
      <c r="F3808" s="1">
        <v>44592</v>
      </c>
      <c r="G3808" t="s">
        <v>13713</v>
      </c>
      <c r="H3808" t="s">
        <v>70</v>
      </c>
      <c r="J3808">
        <v>830.80020000000002</v>
      </c>
      <c r="L3808" t="s">
        <v>291</v>
      </c>
      <c r="M3808" t="s">
        <v>13886</v>
      </c>
    </row>
    <row r="3809" spans="1:13" x14ac:dyDescent="0.25">
      <c r="A3809">
        <v>7015476</v>
      </c>
      <c r="B3809" t="s">
        <v>13887</v>
      </c>
      <c r="C3809" t="str">
        <f>""</f>
        <v/>
      </c>
      <c r="D3809" t="str">
        <f>"9783110607642"</f>
        <v>9783110607642</v>
      </c>
      <c r="E3809" t="s">
        <v>350</v>
      </c>
      <c r="F3809" s="1">
        <v>44550</v>
      </c>
      <c r="G3809" t="s">
        <v>13888</v>
      </c>
      <c r="H3809" t="s">
        <v>2368</v>
      </c>
      <c r="J3809">
        <v>330.93</v>
      </c>
      <c r="L3809" t="s">
        <v>20</v>
      </c>
      <c r="M3809" t="s">
        <v>13889</v>
      </c>
    </row>
    <row r="3810" spans="1:13" x14ac:dyDescent="0.25">
      <c r="A3810">
        <v>7015477</v>
      </c>
      <c r="B3810" t="s">
        <v>13890</v>
      </c>
      <c r="C3810" t="str">
        <f>""</f>
        <v/>
      </c>
      <c r="D3810" t="str">
        <f>"9783110701869"</f>
        <v>9783110701869</v>
      </c>
      <c r="E3810" t="s">
        <v>350</v>
      </c>
      <c r="F3810" s="1">
        <v>44718</v>
      </c>
      <c r="G3810" t="s">
        <v>13891</v>
      </c>
      <c r="H3810" t="s">
        <v>3107</v>
      </c>
      <c r="L3810" t="s">
        <v>1213</v>
      </c>
      <c r="M3810" t="s">
        <v>13892</v>
      </c>
    </row>
    <row r="3811" spans="1:13" x14ac:dyDescent="0.25">
      <c r="A3811">
        <v>7015478</v>
      </c>
      <c r="B3811" t="s">
        <v>13893</v>
      </c>
      <c r="C3811" t="str">
        <f>""</f>
        <v/>
      </c>
      <c r="D3811" t="str">
        <f>"9783110751963"</f>
        <v>9783110751963</v>
      </c>
      <c r="E3811" t="s">
        <v>350</v>
      </c>
      <c r="F3811" s="1">
        <v>44718</v>
      </c>
      <c r="G3811" t="s">
        <v>13626</v>
      </c>
      <c r="H3811" t="s">
        <v>70</v>
      </c>
      <c r="J3811">
        <v>883.01089999999999</v>
      </c>
      <c r="L3811" t="s">
        <v>20</v>
      </c>
      <c r="M3811" t="s">
        <v>13894</v>
      </c>
    </row>
    <row r="3812" spans="1:13" x14ac:dyDescent="0.25">
      <c r="A3812">
        <v>7015479</v>
      </c>
      <c r="B3812" t="s">
        <v>13895</v>
      </c>
      <c r="C3812" t="str">
        <f>""</f>
        <v/>
      </c>
      <c r="D3812" t="str">
        <f>"9783110764062"</f>
        <v>9783110764062</v>
      </c>
      <c r="E3812" t="s">
        <v>350</v>
      </c>
      <c r="F3812" s="1">
        <v>44592</v>
      </c>
      <c r="G3812" t="s">
        <v>13896</v>
      </c>
      <c r="H3812" t="s">
        <v>5236</v>
      </c>
      <c r="J3812">
        <v>907.20938000000001</v>
      </c>
      <c r="L3812" t="s">
        <v>20</v>
      </c>
      <c r="M3812" t="s">
        <v>13897</v>
      </c>
    </row>
    <row r="3813" spans="1:13" x14ac:dyDescent="0.25">
      <c r="A3813">
        <v>7015482</v>
      </c>
      <c r="B3813" t="s">
        <v>13898</v>
      </c>
      <c r="C3813" t="str">
        <f>""</f>
        <v/>
      </c>
      <c r="D3813" t="str">
        <f>"9783110732887"</f>
        <v>9783110732887</v>
      </c>
      <c r="E3813" t="s">
        <v>350</v>
      </c>
      <c r="F3813" s="1">
        <v>44704</v>
      </c>
      <c r="G3813" t="s">
        <v>13899</v>
      </c>
      <c r="H3813" t="s">
        <v>3862</v>
      </c>
      <c r="L3813" t="s">
        <v>291</v>
      </c>
      <c r="M3813" t="s">
        <v>13900</v>
      </c>
    </row>
    <row r="3814" spans="1:13" x14ac:dyDescent="0.25">
      <c r="A3814">
        <v>7015483</v>
      </c>
      <c r="B3814" t="s">
        <v>13901</v>
      </c>
      <c r="C3814" t="str">
        <f>""</f>
        <v/>
      </c>
      <c r="D3814" t="str">
        <f>"9783110719086"</f>
        <v>9783110719086</v>
      </c>
      <c r="E3814" t="s">
        <v>350</v>
      </c>
      <c r="F3814" s="1">
        <v>44592</v>
      </c>
      <c r="G3814" t="s">
        <v>13713</v>
      </c>
      <c r="H3814" t="s">
        <v>70</v>
      </c>
      <c r="J3814">
        <v>830.80020000000002</v>
      </c>
      <c r="L3814" t="s">
        <v>291</v>
      </c>
      <c r="M3814" t="s">
        <v>13902</v>
      </c>
    </row>
    <row r="3815" spans="1:13" x14ac:dyDescent="0.25">
      <c r="A3815">
        <v>7015484</v>
      </c>
      <c r="B3815" t="s">
        <v>13903</v>
      </c>
      <c r="C3815" t="str">
        <f>""</f>
        <v/>
      </c>
      <c r="D3815" t="str">
        <f>"9783110726435"</f>
        <v>9783110726435</v>
      </c>
      <c r="E3815" t="s">
        <v>350</v>
      </c>
      <c r="F3815" s="1">
        <v>44592</v>
      </c>
      <c r="G3815" t="s">
        <v>13904</v>
      </c>
      <c r="H3815" t="s">
        <v>30</v>
      </c>
      <c r="J3815">
        <v>320.54095694</v>
      </c>
      <c r="L3815" t="s">
        <v>20</v>
      </c>
      <c r="M3815" t="s">
        <v>13905</v>
      </c>
    </row>
    <row r="3816" spans="1:13" x14ac:dyDescent="0.25">
      <c r="A3816">
        <v>7015485</v>
      </c>
      <c r="B3816" t="s">
        <v>13906</v>
      </c>
      <c r="C3816" t="str">
        <f>""</f>
        <v/>
      </c>
      <c r="D3816" t="str">
        <f>"9781501516016"</f>
        <v>9781501516016</v>
      </c>
      <c r="E3816" t="s">
        <v>13907</v>
      </c>
      <c r="F3816" s="1">
        <v>44718</v>
      </c>
      <c r="G3816" t="s">
        <v>13908</v>
      </c>
      <c r="H3816" t="s">
        <v>5236</v>
      </c>
      <c r="J3816">
        <v>912.09</v>
      </c>
      <c r="L3816" t="s">
        <v>20</v>
      </c>
      <c r="M3816" t="s">
        <v>13909</v>
      </c>
    </row>
    <row r="3817" spans="1:13" x14ac:dyDescent="0.25">
      <c r="A3817">
        <v>7015486</v>
      </c>
      <c r="B3817" t="s">
        <v>13910</v>
      </c>
      <c r="C3817" t="str">
        <f>""</f>
        <v/>
      </c>
      <c r="D3817" t="str">
        <f>"9783110771800"</f>
        <v>9783110771800</v>
      </c>
      <c r="E3817" t="s">
        <v>350</v>
      </c>
      <c r="F3817" s="1">
        <v>44704</v>
      </c>
      <c r="G3817" t="s">
        <v>13911</v>
      </c>
      <c r="H3817" t="s">
        <v>30</v>
      </c>
      <c r="J3817">
        <v>323.44509489090302</v>
      </c>
      <c r="L3817" t="s">
        <v>20</v>
      </c>
      <c r="M3817" t="s">
        <v>13912</v>
      </c>
    </row>
    <row r="3818" spans="1:13" x14ac:dyDescent="0.25">
      <c r="A3818">
        <v>7015487</v>
      </c>
      <c r="B3818" t="s">
        <v>13913</v>
      </c>
      <c r="C3818" t="str">
        <f>""</f>
        <v/>
      </c>
      <c r="D3818" t="str">
        <f>"9783110760361"</f>
        <v>9783110760361</v>
      </c>
      <c r="E3818" t="s">
        <v>350</v>
      </c>
      <c r="F3818" s="1">
        <v>44641</v>
      </c>
      <c r="G3818" t="s">
        <v>13914</v>
      </c>
      <c r="H3818" t="s">
        <v>4451</v>
      </c>
      <c r="L3818" t="s">
        <v>291</v>
      </c>
      <c r="M3818" t="s">
        <v>13915</v>
      </c>
    </row>
    <row r="3819" spans="1:13" x14ac:dyDescent="0.25">
      <c r="A3819">
        <v>7015488</v>
      </c>
      <c r="B3819" t="s">
        <v>13916</v>
      </c>
      <c r="C3819" t="str">
        <f>""</f>
        <v/>
      </c>
      <c r="D3819" t="str">
        <f>"9783110761061"</f>
        <v>9783110761061</v>
      </c>
      <c r="E3819" t="s">
        <v>350</v>
      </c>
      <c r="F3819" s="1">
        <v>44742</v>
      </c>
      <c r="G3819" t="s">
        <v>13917</v>
      </c>
      <c r="H3819" t="s">
        <v>246</v>
      </c>
      <c r="L3819" t="s">
        <v>291</v>
      </c>
      <c r="M3819" t="s">
        <v>13918</v>
      </c>
    </row>
    <row r="3820" spans="1:13" x14ac:dyDescent="0.25">
      <c r="A3820">
        <v>7015489</v>
      </c>
      <c r="B3820" t="s">
        <v>13919</v>
      </c>
      <c r="C3820" t="str">
        <f>""</f>
        <v/>
      </c>
      <c r="D3820" t="str">
        <f>"9783110752410"</f>
        <v>9783110752410</v>
      </c>
      <c r="E3820" t="s">
        <v>350</v>
      </c>
      <c r="F3820" s="1">
        <v>44592</v>
      </c>
      <c r="G3820" t="s">
        <v>13920</v>
      </c>
      <c r="H3820" t="s">
        <v>310</v>
      </c>
      <c r="J3820" t="s">
        <v>13921</v>
      </c>
      <c r="L3820" t="s">
        <v>20</v>
      </c>
      <c r="M3820" t="s">
        <v>13922</v>
      </c>
    </row>
    <row r="3821" spans="1:13" x14ac:dyDescent="0.25">
      <c r="A3821">
        <v>7015490</v>
      </c>
      <c r="B3821" t="s">
        <v>13923</v>
      </c>
      <c r="C3821" t="str">
        <f>""</f>
        <v/>
      </c>
      <c r="D3821" t="str">
        <f>"9783110721447"</f>
        <v>9783110721447</v>
      </c>
      <c r="E3821" t="s">
        <v>350</v>
      </c>
      <c r="F3821" s="1">
        <v>44718</v>
      </c>
      <c r="G3821" t="s">
        <v>13924</v>
      </c>
      <c r="H3821" t="s">
        <v>851</v>
      </c>
      <c r="L3821" t="s">
        <v>291</v>
      </c>
      <c r="M3821" t="s">
        <v>13925</v>
      </c>
    </row>
    <row r="3822" spans="1:13" x14ac:dyDescent="0.25">
      <c r="A3822">
        <v>7015491</v>
      </c>
      <c r="B3822" t="s">
        <v>13926</v>
      </c>
      <c r="C3822" t="str">
        <f>""</f>
        <v/>
      </c>
      <c r="D3822" t="str">
        <f>"9783110752205"</f>
        <v>9783110752205</v>
      </c>
      <c r="E3822" t="s">
        <v>350</v>
      </c>
      <c r="F3822" s="1">
        <v>44641</v>
      </c>
      <c r="G3822" t="s">
        <v>13927</v>
      </c>
      <c r="H3822" t="s">
        <v>41</v>
      </c>
      <c r="J3822">
        <v>338.04071099999999</v>
      </c>
      <c r="L3822" t="s">
        <v>20</v>
      </c>
      <c r="M3822" t="s">
        <v>13928</v>
      </c>
    </row>
    <row r="3823" spans="1:13" x14ac:dyDescent="0.25">
      <c r="A3823">
        <v>7015492</v>
      </c>
      <c r="B3823" t="s">
        <v>13929</v>
      </c>
      <c r="C3823" t="str">
        <f>""</f>
        <v/>
      </c>
      <c r="D3823" t="str">
        <f>"9783110680942"</f>
        <v>9783110680942</v>
      </c>
      <c r="E3823" t="s">
        <v>350</v>
      </c>
      <c r="F3823" s="1">
        <v>44561</v>
      </c>
      <c r="G3823" t="s">
        <v>13930</v>
      </c>
      <c r="H3823" t="s">
        <v>13931</v>
      </c>
      <c r="L3823" t="s">
        <v>291</v>
      </c>
      <c r="M3823" t="s">
        <v>13932</v>
      </c>
    </row>
    <row r="3824" spans="1:13" x14ac:dyDescent="0.25">
      <c r="A3824">
        <v>7015493</v>
      </c>
      <c r="B3824" t="s">
        <v>13933</v>
      </c>
      <c r="C3824" t="str">
        <f>""</f>
        <v/>
      </c>
      <c r="D3824" t="str">
        <f>"9783110767711"</f>
        <v>9783110767711</v>
      </c>
      <c r="E3824" t="s">
        <v>350</v>
      </c>
      <c r="F3824" s="1">
        <v>44561</v>
      </c>
      <c r="G3824" t="s">
        <v>13934</v>
      </c>
      <c r="H3824" t="s">
        <v>13126</v>
      </c>
      <c r="L3824" t="s">
        <v>291</v>
      </c>
      <c r="M3824" t="s">
        <v>13935</v>
      </c>
    </row>
    <row r="3825" spans="1:13" x14ac:dyDescent="0.25">
      <c r="A3825">
        <v>7015494</v>
      </c>
      <c r="B3825" t="s">
        <v>13936</v>
      </c>
      <c r="C3825" t="str">
        <f>""</f>
        <v/>
      </c>
      <c r="D3825" t="str">
        <f>"9783110765113"</f>
        <v>9783110765113</v>
      </c>
      <c r="E3825" t="s">
        <v>350</v>
      </c>
      <c r="F3825" s="1">
        <v>44592</v>
      </c>
      <c r="G3825" t="s">
        <v>13937</v>
      </c>
      <c r="H3825" t="s">
        <v>851</v>
      </c>
      <c r="J3825">
        <v>410.72</v>
      </c>
      <c r="L3825" t="s">
        <v>291</v>
      </c>
      <c r="M3825" t="s">
        <v>13938</v>
      </c>
    </row>
    <row r="3826" spans="1:13" x14ac:dyDescent="0.25">
      <c r="A3826">
        <v>7015495</v>
      </c>
      <c r="B3826" t="s">
        <v>13939</v>
      </c>
      <c r="C3826" t="str">
        <f>""</f>
        <v/>
      </c>
      <c r="D3826" t="str">
        <f>"9783486769265"</f>
        <v>9783486769265</v>
      </c>
      <c r="E3826" t="s">
        <v>350</v>
      </c>
      <c r="F3826" s="1">
        <v>13971</v>
      </c>
      <c r="G3826" t="s">
        <v>12644</v>
      </c>
      <c r="H3826" t="s">
        <v>16</v>
      </c>
      <c r="L3826" t="s">
        <v>291</v>
      </c>
      <c r="M3826" t="s">
        <v>13940</v>
      </c>
    </row>
    <row r="3827" spans="1:13" x14ac:dyDescent="0.25">
      <c r="A3827">
        <v>7015496</v>
      </c>
      <c r="B3827" t="s">
        <v>13941</v>
      </c>
      <c r="C3827" t="str">
        <f>"9783110203066"</f>
        <v>9783110203066</v>
      </c>
      <c r="D3827" t="str">
        <f>"9783110972948"</f>
        <v>9783110972948</v>
      </c>
      <c r="E3827" t="s">
        <v>350</v>
      </c>
      <c r="F3827" s="1">
        <v>39644</v>
      </c>
      <c r="G3827" t="s">
        <v>13619</v>
      </c>
      <c r="H3827" t="s">
        <v>70</v>
      </c>
      <c r="J3827" t="s">
        <v>13620</v>
      </c>
      <c r="L3827" t="s">
        <v>291</v>
      </c>
      <c r="M3827" t="s">
        <v>13942</v>
      </c>
    </row>
    <row r="3828" spans="1:13" x14ac:dyDescent="0.25">
      <c r="A3828">
        <v>7015497</v>
      </c>
      <c r="B3828" t="s">
        <v>13943</v>
      </c>
      <c r="C3828" t="str">
        <f>""</f>
        <v/>
      </c>
      <c r="D3828" t="str">
        <f>"9783110663792"</f>
        <v>9783110663792</v>
      </c>
      <c r="E3828" t="s">
        <v>350</v>
      </c>
      <c r="F3828" s="1">
        <v>44032</v>
      </c>
      <c r="G3828" t="s">
        <v>13944</v>
      </c>
      <c r="H3828" t="s">
        <v>1586</v>
      </c>
      <c r="J3828">
        <v>153.19999999999999</v>
      </c>
      <c r="L3828" t="s">
        <v>20</v>
      </c>
      <c r="M3828" t="s">
        <v>13945</v>
      </c>
    </row>
    <row r="3829" spans="1:13" x14ac:dyDescent="0.25">
      <c r="A3829">
        <v>7015501</v>
      </c>
      <c r="B3829" t="s">
        <v>13946</v>
      </c>
      <c r="C3829" t="str">
        <f>"9781802070491"</f>
        <v>9781802070491</v>
      </c>
      <c r="D3829" t="str">
        <f>"9781802070927"</f>
        <v>9781802070927</v>
      </c>
      <c r="E3829" t="s">
        <v>4290</v>
      </c>
      <c r="F3829" s="1">
        <v>44743</v>
      </c>
      <c r="G3829" t="s">
        <v>13947</v>
      </c>
      <c r="H3829" t="s">
        <v>13948</v>
      </c>
      <c r="L3829" t="s">
        <v>20</v>
      </c>
      <c r="M3829" t="s">
        <v>13949</v>
      </c>
    </row>
    <row r="3830" spans="1:13" x14ac:dyDescent="0.25">
      <c r="A3830">
        <v>7015822</v>
      </c>
      <c r="B3830" t="s">
        <v>13950</v>
      </c>
      <c r="C3830" t="str">
        <f>"9783031081682"</f>
        <v>9783031081682</v>
      </c>
      <c r="D3830" t="str">
        <f>"9783031081699"</f>
        <v>9783031081699</v>
      </c>
      <c r="E3830" t="s">
        <v>2905</v>
      </c>
      <c r="F3830" s="1">
        <v>44761</v>
      </c>
      <c r="G3830" t="s">
        <v>13951</v>
      </c>
      <c r="H3830" t="s">
        <v>712</v>
      </c>
      <c r="I3830" t="s">
        <v>4774</v>
      </c>
      <c r="L3830" t="s">
        <v>20</v>
      </c>
      <c r="M3830" t="s">
        <v>13952</v>
      </c>
    </row>
    <row r="3831" spans="1:13" x14ac:dyDescent="0.25">
      <c r="A3831">
        <v>7016579</v>
      </c>
      <c r="B3831" t="s">
        <v>13953</v>
      </c>
      <c r="C3831" t="str">
        <f>"9783031048838"</f>
        <v>9783031048838</v>
      </c>
      <c r="D3831" t="str">
        <f>"9783031048845"</f>
        <v>9783031048845</v>
      </c>
      <c r="E3831" t="s">
        <v>2905</v>
      </c>
      <c r="F3831" s="1">
        <v>44727</v>
      </c>
      <c r="G3831" t="s">
        <v>13954</v>
      </c>
      <c r="H3831" t="s">
        <v>1753</v>
      </c>
      <c r="I3831" t="s">
        <v>5116</v>
      </c>
      <c r="J3831">
        <v>658.42100000000005</v>
      </c>
      <c r="L3831" t="s">
        <v>20</v>
      </c>
      <c r="M3831" t="s">
        <v>13955</v>
      </c>
    </row>
    <row r="3832" spans="1:13" x14ac:dyDescent="0.25">
      <c r="A3832">
        <v>7017512</v>
      </c>
      <c r="B3832" t="s">
        <v>13956</v>
      </c>
      <c r="C3832" t="str">
        <f>"9783030983505"</f>
        <v>9783030983505</v>
      </c>
      <c r="D3832" t="str">
        <f>"9783030983512"</f>
        <v>9783030983512</v>
      </c>
      <c r="E3832" t="s">
        <v>2905</v>
      </c>
      <c r="F3832" s="1">
        <v>44752</v>
      </c>
      <c r="G3832" t="s">
        <v>13957</v>
      </c>
      <c r="H3832" t="s">
        <v>453</v>
      </c>
      <c r="I3832" t="s">
        <v>5218</v>
      </c>
      <c r="L3832" t="s">
        <v>20</v>
      </c>
      <c r="M3832" t="s">
        <v>13958</v>
      </c>
    </row>
    <row r="3833" spans="1:13" x14ac:dyDescent="0.25">
      <c r="A3833">
        <v>7018096</v>
      </c>
      <c r="B3833" t="s">
        <v>13959</v>
      </c>
      <c r="C3833" t="str">
        <f>"9783030980795"</f>
        <v>9783030980795</v>
      </c>
      <c r="D3833" t="str">
        <f>"9783030980801"</f>
        <v>9783030980801</v>
      </c>
      <c r="E3833" t="s">
        <v>2905</v>
      </c>
      <c r="F3833" s="1">
        <v>44728</v>
      </c>
      <c r="G3833" t="s">
        <v>13960</v>
      </c>
      <c r="H3833" t="s">
        <v>1753</v>
      </c>
      <c r="I3833" t="s">
        <v>4619</v>
      </c>
      <c r="J3833">
        <v>381.09480903399998</v>
      </c>
      <c r="L3833" t="s">
        <v>20</v>
      </c>
      <c r="M3833" t="s">
        <v>13961</v>
      </c>
    </row>
    <row r="3834" spans="1:13" x14ac:dyDescent="0.25">
      <c r="A3834">
        <v>7018107</v>
      </c>
      <c r="B3834" t="s">
        <v>13962</v>
      </c>
      <c r="C3834" t="str">
        <f>"9783030970116"</f>
        <v>9783030970116</v>
      </c>
      <c r="D3834" t="str">
        <f>"9783030970123"</f>
        <v>9783030970123</v>
      </c>
      <c r="E3834" t="s">
        <v>2905</v>
      </c>
      <c r="F3834" s="1">
        <v>44774</v>
      </c>
      <c r="G3834" t="s">
        <v>13963</v>
      </c>
      <c r="H3834" t="s">
        <v>30</v>
      </c>
      <c r="I3834" t="s">
        <v>8323</v>
      </c>
      <c r="L3834" t="s">
        <v>20</v>
      </c>
      <c r="M3834" t="s">
        <v>13964</v>
      </c>
    </row>
    <row r="3835" spans="1:13" x14ac:dyDescent="0.25">
      <c r="A3835">
        <v>7018111</v>
      </c>
      <c r="B3835" t="s">
        <v>13965</v>
      </c>
      <c r="C3835" t="str">
        <f>"9783030956820"</f>
        <v>9783030956820</v>
      </c>
      <c r="D3835" t="str">
        <f>"9783030956837"</f>
        <v>9783030956837</v>
      </c>
      <c r="E3835" t="s">
        <v>2905</v>
      </c>
      <c r="F3835" s="1">
        <v>44766</v>
      </c>
      <c r="G3835" t="s">
        <v>13966</v>
      </c>
      <c r="H3835" t="s">
        <v>1178</v>
      </c>
      <c r="I3835" t="s">
        <v>13967</v>
      </c>
      <c r="L3835" t="s">
        <v>20</v>
      </c>
      <c r="M3835" t="s">
        <v>13968</v>
      </c>
    </row>
    <row r="3836" spans="1:13" x14ac:dyDescent="0.25">
      <c r="A3836">
        <v>7018191</v>
      </c>
      <c r="B3836" t="s">
        <v>13969</v>
      </c>
      <c r="C3836" t="str">
        <f>"9780472075447"</f>
        <v>9780472075447</v>
      </c>
      <c r="D3836" t="str">
        <f>"9780472902873"</f>
        <v>9780472902873</v>
      </c>
      <c r="E3836" t="s">
        <v>6708</v>
      </c>
      <c r="F3836" s="1">
        <v>44781</v>
      </c>
      <c r="G3836" t="s">
        <v>13970</v>
      </c>
      <c r="H3836" t="s">
        <v>30</v>
      </c>
      <c r="L3836" t="s">
        <v>20</v>
      </c>
      <c r="M3836" t="s">
        <v>13971</v>
      </c>
    </row>
    <row r="3837" spans="1:13" x14ac:dyDescent="0.25">
      <c r="A3837">
        <v>7018666</v>
      </c>
      <c r="B3837" t="s">
        <v>13972</v>
      </c>
      <c r="C3837" t="str">
        <f>"9783031052750"</f>
        <v>9783031052750</v>
      </c>
      <c r="D3837" t="str">
        <f>"9783031052767"</f>
        <v>9783031052767</v>
      </c>
      <c r="E3837" t="s">
        <v>2905</v>
      </c>
      <c r="F3837" s="1">
        <v>44790</v>
      </c>
      <c r="G3837" t="s">
        <v>13973</v>
      </c>
      <c r="H3837" t="s">
        <v>712</v>
      </c>
      <c r="I3837" t="s">
        <v>6117</v>
      </c>
      <c r="L3837" t="s">
        <v>20</v>
      </c>
      <c r="M3837" t="s">
        <v>13974</v>
      </c>
    </row>
    <row r="3838" spans="1:13" x14ac:dyDescent="0.25">
      <c r="A3838">
        <v>7018786</v>
      </c>
      <c r="B3838" t="s">
        <v>13975</v>
      </c>
      <c r="C3838" t="str">
        <f>"9783030939854"</f>
        <v>9783030939854</v>
      </c>
      <c r="D3838" t="str">
        <f>"9783030939861"</f>
        <v>9783030939861</v>
      </c>
      <c r="E3838" t="s">
        <v>2905</v>
      </c>
      <c r="F3838" s="1">
        <v>44771</v>
      </c>
      <c r="G3838" t="s">
        <v>13976</v>
      </c>
      <c r="H3838" t="s">
        <v>30</v>
      </c>
      <c r="I3838" t="s">
        <v>5108</v>
      </c>
      <c r="L3838" t="s">
        <v>20</v>
      </c>
      <c r="M3838" t="s">
        <v>13977</v>
      </c>
    </row>
    <row r="3839" spans="1:13" x14ac:dyDescent="0.25">
      <c r="A3839">
        <v>7018938</v>
      </c>
      <c r="B3839" t="s">
        <v>13978</v>
      </c>
      <c r="C3839" t="str">
        <f>"9783031012327"</f>
        <v>9783031012327</v>
      </c>
      <c r="D3839" t="str">
        <f>"9783031012334"</f>
        <v>9783031012334</v>
      </c>
      <c r="E3839" t="s">
        <v>2905</v>
      </c>
      <c r="F3839" s="1">
        <v>44775</v>
      </c>
      <c r="G3839" t="s">
        <v>13979</v>
      </c>
      <c r="H3839" t="s">
        <v>5623</v>
      </c>
      <c r="I3839" t="s">
        <v>5419</v>
      </c>
      <c r="L3839" t="s">
        <v>20</v>
      </c>
      <c r="M3839" t="s">
        <v>13980</v>
      </c>
    </row>
    <row r="3840" spans="1:13" x14ac:dyDescent="0.25">
      <c r="A3840">
        <v>7018967</v>
      </c>
      <c r="B3840" t="s">
        <v>13981</v>
      </c>
      <c r="C3840" t="str">
        <f>"9783031054655"</f>
        <v>9783031054655</v>
      </c>
      <c r="D3840" t="str">
        <f>"9783031054662"</f>
        <v>9783031054662</v>
      </c>
      <c r="E3840" t="s">
        <v>2905</v>
      </c>
      <c r="F3840" s="1">
        <v>44794</v>
      </c>
      <c r="G3840" t="s">
        <v>13982</v>
      </c>
      <c r="H3840" t="s">
        <v>1178</v>
      </c>
      <c r="I3840" t="s">
        <v>4278</v>
      </c>
      <c r="L3840" t="s">
        <v>20</v>
      </c>
      <c r="M3840" t="s">
        <v>13983</v>
      </c>
    </row>
    <row r="3841" spans="1:13" x14ac:dyDescent="0.25">
      <c r="A3841">
        <v>7019590</v>
      </c>
      <c r="B3841" t="s">
        <v>13984</v>
      </c>
      <c r="C3841" t="str">
        <f>""</f>
        <v/>
      </c>
      <c r="D3841" t="str">
        <f>"9783110765533"</f>
        <v>9783110765533</v>
      </c>
      <c r="E3841" t="s">
        <v>350</v>
      </c>
      <c r="F3841" s="1">
        <v>44718</v>
      </c>
      <c r="G3841" t="s">
        <v>13985</v>
      </c>
      <c r="H3841" t="s">
        <v>239</v>
      </c>
      <c r="L3841" t="s">
        <v>291</v>
      </c>
      <c r="M3841" t="s">
        <v>13986</v>
      </c>
    </row>
    <row r="3842" spans="1:13" x14ac:dyDescent="0.25">
      <c r="A3842">
        <v>7020108</v>
      </c>
      <c r="B3842" t="s">
        <v>13987</v>
      </c>
      <c r="C3842" t="str">
        <f>"9783030989880"</f>
        <v>9783030989880</v>
      </c>
      <c r="D3842" t="str">
        <f>"9783030989897"</f>
        <v>9783030989897</v>
      </c>
      <c r="E3842" t="s">
        <v>2905</v>
      </c>
      <c r="F3842" s="1">
        <v>44773</v>
      </c>
      <c r="G3842" t="s">
        <v>13988</v>
      </c>
      <c r="H3842" t="s">
        <v>3355</v>
      </c>
      <c r="I3842" t="s">
        <v>5298</v>
      </c>
      <c r="L3842" t="s">
        <v>20</v>
      </c>
      <c r="M3842" t="s">
        <v>13989</v>
      </c>
    </row>
    <row r="3843" spans="1:13" x14ac:dyDescent="0.25">
      <c r="A3843">
        <v>7020126</v>
      </c>
      <c r="B3843" t="s">
        <v>13990</v>
      </c>
      <c r="C3843" t="str">
        <f>"9783030986391"</f>
        <v>9783030986391</v>
      </c>
      <c r="D3843" t="str">
        <f>"9783030986407"</f>
        <v>9783030986407</v>
      </c>
      <c r="E3843" t="s">
        <v>2905</v>
      </c>
      <c r="F3843" s="1">
        <v>44763</v>
      </c>
      <c r="G3843" t="s">
        <v>13991</v>
      </c>
      <c r="H3843" t="s">
        <v>1753</v>
      </c>
      <c r="I3843" t="s">
        <v>13992</v>
      </c>
      <c r="L3843" t="s">
        <v>20</v>
      </c>
      <c r="M3843" t="s">
        <v>13993</v>
      </c>
    </row>
    <row r="3844" spans="1:13" x14ac:dyDescent="0.25">
      <c r="A3844">
        <v>7020131</v>
      </c>
      <c r="B3844" t="s">
        <v>13994</v>
      </c>
      <c r="C3844" t="str">
        <f>"9783030960520"</f>
        <v>9783030960520</v>
      </c>
      <c r="D3844" t="str">
        <f>"9783030960537"</f>
        <v>9783030960537</v>
      </c>
      <c r="E3844" t="s">
        <v>2905</v>
      </c>
      <c r="F3844" s="1">
        <v>44752</v>
      </c>
      <c r="G3844" t="s">
        <v>13995</v>
      </c>
      <c r="H3844" t="s">
        <v>266</v>
      </c>
      <c r="I3844" t="s">
        <v>5672</v>
      </c>
      <c r="L3844" t="s">
        <v>20</v>
      </c>
      <c r="M3844" t="s">
        <v>13996</v>
      </c>
    </row>
    <row r="3845" spans="1:13" x14ac:dyDescent="0.25">
      <c r="A3845">
        <v>7020803</v>
      </c>
      <c r="B3845" t="s">
        <v>13997</v>
      </c>
      <c r="C3845" t="str">
        <f>"9783031095924"</f>
        <v>9783031095924</v>
      </c>
      <c r="D3845" t="str">
        <f>"9783031095931"</f>
        <v>9783031095931</v>
      </c>
      <c r="E3845" t="s">
        <v>2905</v>
      </c>
      <c r="F3845" s="1">
        <v>44734</v>
      </c>
      <c r="G3845" t="s">
        <v>13998</v>
      </c>
      <c r="H3845" t="s">
        <v>712</v>
      </c>
      <c r="I3845" t="s">
        <v>5426</v>
      </c>
      <c r="L3845" t="s">
        <v>20</v>
      </c>
      <c r="M3845" t="s">
        <v>13999</v>
      </c>
    </row>
    <row r="3846" spans="1:13" x14ac:dyDescent="0.25">
      <c r="A3846">
        <v>7020823</v>
      </c>
      <c r="B3846" t="s">
        <v>14000</v>
      </c>
      <c r="C3846" t="str">
        <f>"9783030977214"</f>
        <v>9783030977214</v>
      </c>
      <c r="D3846" t="str">
        <f>"9783030977221"</f>
        <v>9783030977221</v>
      </c>
      <c r="E3846" t="s">
        <v>2905</v>
      </c>
      <c r="F3846" s="1">
        <v>44765</v>
      </c>
      <c r="G3846" t="s">
        <v>14001</v>
      </c>
      <c r="H3846" t="s">
        <v>1624</v>
      </c>
      <c r="I3846" t="s">
        <v>4255</v>
      </c>
      <c r="L3846" t="s">
        <v>20</v>
      </c>
      <c r="M3846" t="s">
        <v>14002</v>
      </c>
    </row>
    <row r="3847" spans="1:13" x14ac:dyDescent="0.25">
      <c r="A3847">
        <v>7021194</v>
      </c>
      <c r="B3847" t="s">
        <v>14003</v>
      </c>
      <c r="C3847" t="str">
        <f>"9783030982898"</f>
        <v>9783030982898</v>
      </c>
      <c r="D3847" t="str">
        <f>"9783030982904"</f>
        <v>9783030982904</v>
      </c>
      <c r="E3847" t="s">
        <v>2905</v>
      </c>
      <c r="F3847" s="1">
        <v>44735</v>
      </c>
      <c r="G3847" t="s">
        <v>14004</v>
      </c>
      <c r="H3847" t="s">
        <v>64</v>
      </c>
      <c r="I3847" t="s">
        <v>6029</v>
      </c>
      <c r="L3847" t="s">
        <v>20</v>
      </c>
      <c r="M3847" t="s">
        <v>14005</v>
      </c>
    </row>
    <row r="3848" spans="1:13" x14ac:dyDescent="0.25">
      <c r="A3848">
        <v>7021221</v>
      </c>
      <c r="B3848" t="s">
        <v>14006</v>
      </c>
      <c r="C3848" t="str">
        <f>"9783031080197"</f>
        <v>9783031080197</v>
      </c>
      <c r="D3848" t="str">
        <f>"9783031080203"</f>
        <v>9783031080203</v>
      </c>
      <c r="E3848" t="s">
        <v>2905</v>
      </c>
      <c r="F3848" s="1">
        <v>44735</v>
      </c>
      <c r="G3848" t="s">
        <v>14007</v>
      </c>
      <c r="H3848" t="s">
        <v>5598</v>
      </c>
      <c r="I3848" t="s">
        <v>10491</v>
      </c>
      <c r="J3848">
        <v>6.3</v>
      </c>
      <c r="L3848" t="s">
        <v>20</v>
      </c>
      <c r="M3848" t="s">
        <v>14008</v>
      </c>
    </row>
    <row r="3849" spans="1:13" x14ac:dyDescent="0.25">
      <c r="A3849">
        <v>7021566</v>
      </c>
      <c r="B3849" t="s">
        <v>14009</v>
      </c>
      <c r="C3849" t="str">
        <f>"9783031039553"</f>
        <v>9783031039553</v>
      </c>
      <c r="D3849" t="str">
        <f>"9783031039560"</f>
        <v>9783031039560</v>
      </c>
      <c r="E3849" t="s">
        <v>2905</v>
      </c>
      <c r="F3849" s="1">
        <v>44777</v>
      </c>
      <c r="G3849" t="s">
        <v>14010</v>
      </c>
      <c r="H3849" t="s">
        <v>139</v>
      </c>
      <c r="I3849" t="s">
        <v>6236</v>
      </c>
      <c r="L3849" t="s">
        <v>20</v>
      </c>
      <c r="M3849" t="s">
        <v>14011</v>
      </c>
    </row>
    <row r="3850" spans="1:13" x14ac:dyDescent="0.25">
      <c r="A3850">
        <v>7021573</v>
      </c>
      <c r="B3850" t="s">
        <v>14012</v>
      </c>
      <c r="C3850" t="str">
        <f>"9789811919497"</f>
        <v>9789811919497</v>
      </c>
      <c r="D3850" t="str">
        <f>"9789811919503"</f>
        <v>9789811919503</v>
      </c>
      <c r="E3850" t="s">
        <v>3313</v>
      </c>
      <c r="F3850" s="1">
        <v>44764</v>
      </c>
      <c r="G3850" t="s">
        <v>14013</v>
      </c>
      <c r="H3850" t="s">
        <v>3341</v>
      </c>
      <c r="I3850" t="s">
        <v>4255</v>
      </c>
      <c r="J3850">
        <v>616.89140835000001</v>
      </c>
      <c r="L3850" t="s">
        <v>20</v>
      </c>
      <c r="M3850" t="s">
        <v>14014</v>
      </c>
    </row>
    <row r="3851" spans="1:13" x14ac:dyDescent="0.25">
      <c r="A3851">
        <v>7021723</v>
      </c>
      <c r="B3851" t="s">
        <v>14015</v>
      </c>
      <c r="C3851" t="str">
        <f>"9783110620542"</f>
        <v>9783110620542</v>
      </c>
      <c r="D3851" t="str">
        <f>"9783110620580"</f>
        <v>9783110620580</v>
      </c>
      <c r="E3851" t="s">
        <v>350</v>
      </c>
      <c r="F3851" s="1">
        <v>43354</v>
      </c>
      <c r="G3851" t="s">
        <v>14016</v>
      </c>
      <c r="H3851" t="s">
        <v>310</v>
      </c>
      <c r="L3851" t="s">
        <v>20</v>
      </c>
      <c r="M3851" t="s">
        <v>14017</v>
      </c>
    </row>
    <row r="3852" spans="1:13" x14ac:dyDescent="0.25">
      <c r="A3852">
        <v>7021980</v>
      </c>
      <c r="B3852" t="s">
        <v>14018</v>
      </c>
      <c r="C3852" t="str">
        <f>""</f>
        <v/>
      </c>
      <c r="D3852" t="str">
        <f>"9783035624168"</f>
        <v>9783035624168</v>
      </c>
      <c r="E3852" t="s">
        <v>350</v>
      </c>
      <c r="F3852" s="1">
        <v>44773</v>
      </c>
      <c r="G3852" t="s">
        <v>14019</v>
      </c>
      <c r="H3852" t="s">
        <v>806</v>
      </c>
      <c r="J3852">
        <v>720.47</v>
      </c>
      <c r="L3852" t="s">
        <v>20</v>
      </c>
      <c r="M3852" t="s">
        <v>14020</v>
      </c>
    </row>
    <row r="3853" spans="1:13" x14ac:dyDescent="0.25">
      <c r="A3853">
        <v>7021983</v>
      </c>
      <c r="B3853" t="s">
        <v>14021</v>
      </c>
      <c r="C3853" t="str">
        <f>""</f>
        <v/>
      </c>
      <c r="D3853" t="str">
        <f>"9783110757835"</f>
        <v>9783110757835</v>
      </c>
      <c r="E3853" t="s">
        <v>270</v>
      </c>
      <c r="F3853" s="1">
        <v>44747</v>
      </c>
      <c r="G3853" t="s">
        <v>14022</v>
      </c>
      <c r="H3853" t="s">
        <v>851</v>
      </c>
      <c r="J3853">
        <v>411</v>
      </c>
      <c r="L3853" t="s">
        <v>20</v>
      </c>
      <c r="M3853" t="s">
        <v>14023</v>
      </c>
    </row>
    <row r="3854" spans="1:13" x14ac:dyDescent="0.25">
      <c r="A3854">
        <v>7021989</v>
      </c>
      <c r="B3854" t="s">
        <v>14024</v>
      </c>
      <c r="C3854" t="str">
        <f>""</f>
        <v/>
      </c>
      <c r="D3854" t="str">
        <f>"9783110692754"</f>
        <v>9783110692754</v>
      </c>
      <c r="E3854" t="s">
        <v>350</v>
      </c>
      <c r="F3854" s="1">
        <v>44760</v>
      </c>
      <c r="G3854" t="s">
        <v>14025</v>
      </c>
      <c r="H3854" t="s">
        <v>14026</v>
      </c>
      <c r="L3854" t="s">
        <v>20</v>
      </c>
      <c r="M3854" t="s">
        <v>14027</v>
      </c>
    </row>
    <row r="3855" spans="1:13" x14ac:dyDescent="0.25">
      <c r="A3855">
        <v>7021993</v>
      </c>
      <c r="B3855" t="s">
        <v>14028</v>
      </c>
      <c r="C3855" t="str">
        <f>""</f>
        <v/>
      </c>
      <c r="D3855" t="str">
        <f>"9783110786279"</f>
        <v>9783110786279</v>
      </c>
      <c r="E3855" t="s">
        <v>350</v>
      </c>
      <c r="F3855" s="1">
        <v>44749</v>
      </c>
      <c r="G3855" t="s">
        <v>14029</v>
      </c>
      <c r="H3855" t="s">
        <v>246</v>
      </c>
      <c r="J3855">
        <v>701.03</v>
      </c>
      <c r="L3855" t="s">
        <v>20</v>
      </c>
      <c r="M3855" t="s">
        <v>14030</v>
      </c>
    </row>
    <row r="3856" spans="1:13" x14ac:dyDescent="0.25">
      <c r="A3856">
        <v>7021995</v>
      </c>
      <c r="B3856" t="s">
        <v>14031</v>
      </c>
      <c r="C3856" t="str">
        <f>""</f>
        <v/>
      </c>
      <c r="D3856" t="str">
        <f>"9783035624243"</f>
        <v>9783035624243</v>
      </c>
      <c r="E3856" t="s">
        <v>350</v>
      </c>
      <c r="F3856" s="1">
        <v>44773</v>
      </c>
      <c r="G3856" t="s">
        <v>14032</v>
      </c>
      <c r="H3856" t="s">
        <v>806</v>
      </c>
      <c r="J3856">
        <v>720.47</v>
      </c>
      <c r="L3856" t="s">
        <v>20</v>
      </c>
      <c r="M3856" t="s">
        <v>14033</v>
      </c>
    </row>
    <row r="3857" spans="1:13" x14ac:dyDescent="0.25">
      <c r="A3857">
        <v>7022018</v>
      </c>
      <c r="B3857" t="s">
        <v>14034</v>
      </c>
      <c r="C3857" t="str">
        <f>""</f>
        <v/>
      </c>
      <c r="D3857" t="str">
        <f>"9783035625882"</f>
        <v>9783035625882</v>
      </c>
      <c r="E3857" t="s">
        <v>350</v>
      </c>
      <c r="F3857" s="1">
        <v>44804</v>
      </c>
      <c r="G3857" t="s">
        <v>14035</v>
      </c>
      <c r="H3857" t="s">
        <v>806</v>
      </c>
      <c r="J3857">
        <v>720.10500000000002</v>
      </c>
      <c r="L3857" t="s">
        <v>20</v>
      </c>
      <c r="M3857" t="s">
        <v>14036</v>
      </c>
    </row>
    <row r="3858" spans="1:13" x14ac:dyDescent="0.25">
      <c r="A3858">
        <v>7022530</v>
      </c>
      <c r="B3858" t="s">
        <v>14037</v>
      </c>
      <c r="C3858" t="str">
        <f>"9783031088476"</f>
        <v>9783031088476</v>
      </c>
      <c r="D3858" t="str">
        <f>"9783031088483"</f>
        <v>9783031088483</v>
      </c>
      <c r="E3858" t="s">
        <v>2905</v>
      </c>
      <c r="F3858" s="1">
        <v>44729</v>
      </c>
      <c r="G3858" t="s">
        <v>14038</v>
      </c>
      <c r="H3858" t="s">
        <v>1753</v>
      </c>
      <c r="I3858" t="s">
        <v>5327</v>
      </c>
      <c r="L3858" t="s">
        <v>20</v>
      </c>
      <c r="M3858" t="s">
        <v>14039</v>
      </c>
    </row>
    <row r="3859" spans="1:13" x14ac:dyDescent="0.25">
      <c r="A3859">
        <v>7023507</v>
      </c>
      <c r="B3859" t="s">
        <v>14040</v>
      </c>
      <c r="C3859" t="str">
        <f>"9783031021077"</f>
        <v>9783031021077</v>
      </c>
      <c r="D3859" t="str">
        <f>"9783031021084"</f>
        <v>9783031021084</v>
      </c>
      <c r="E3859" t="s">
        <v>2905</v>
      </c>
      <c r="F3859" s="1">
        <v>44781</v>
      </c>
      <c r="G3859" t="s">
        <v>8313</v>
      </c>
      <c r="H3859" t="s">
        <v>30</v>
      </c>
      <c r="I3859" t="s">
        <v>8213</v>
      </c>
      <c r="L3859" t="s">
        <v>20</v>
      </c>
      <c r="M3859" t="s">
        <v>14041</v>
      </c>
    </row>
    <row r="3860" spans="1:13" x14ac:dyDescent="0.25">
      <c r="A3860">
        <v>7024359</v>
      </c>
      <c r="B3860" t="s">
        <v>14042</v>
      </c>
      <c r="C3860" t="str">
        <f>"9783031055652"</f>
        <v>9783031055652</v>
      </c>
      <c r="D3860" t="str">
        <f>"9783031055669"</f>
        <v>9783031055669</v>
      </c>
      <c r="E3860" t="s">
        <v>2905</v>
      </c>
      <c r="F3860" s="1">
        <v>44741</v>
      </c>
      <c r="G3860" t="s">
        <v>14043</v>
      </c>
      <c r="H3860" t="s">
        <v>30</v>
      </c>
      <c r="I3860" t="s">
        <v>4676</v>
      </c>
      <c r="L3860" t="s">
        <v>20</v>
      </c>
      <c r="M3860" t="s">
        <v>14044</v>
      </c>
    </row>
    <row r="3861" spans="1:13" x14ac:dyDescent="0.25">
      <c r="A3861">
        <v>7024384</v>
      </c>
      <c r="B3861" t="s">
        <v>14045</v>
      </c>
      <c r="C3861" t="str">
        <f>"9783030915964"</f>
        <v>9783030915964</v>
      </c>
      <c r="D3861" t="str">
        <f>"9783030915971"</f>
        <v>9783030915971</v>
      </c>
      <c r="E3861" t="s">
        <v>2905</v>
      </c>
      <c r="F3861" s="1">
        <v>44741</v>
      </c>
      <c r="G3861" t="s">
        <v>14046</v>
      </c>
      <c r="H3861" t="s">
        <v>4180</v>
      </c>
      <c r="I3861" t="s">
        <v>4790</v>
      </c>
      <c r="L3861" t="s">
        <v>20</v>
      </c>
      <c r="M3861" t="s">
        <v>14047</v>
      </c>
    </row>
    <row r="3862" spans="1:13" x14ac:dyDescent="0.25">
      <c r="A3862">
        <v>7024388</v>
      </c>
      <c r="B3862" t="s">
        <v>14048</v>
      </c>
      <c r="C3862" t="str">
        <f>"9783031039379"</f>
        <v>9783031039379</v>
      </c>
      <c r="D3862" t="str">
        <f>"9783031039386"</f>
        <v>9783031039386</v>
      </c>
      <c r="E3862" t="s">
        <v>2905</v>
      </c>
      <c r="F3862" s="1">
        <v>44741</v>
      </c>
      <c r="G3862" t="s">
        <v>14049</v>
      </c>
      <c r="H3862" t="s">
        <v>14050</v>
      </c>
      <c r="I3862" t="s">
        <v>8735</v>
      </c>
      <c r="J3862">
        <v>338.92700000000002</v>
      </c>
      <c r="L3862" t="s">
        <v>20</v>
      </c>
      <c r="M3862" t="s">
        <v>14051</v>
      </c>
    </row>
    <row r="3863" spans="1:13" x14ac:dyDescent="0.25">
      <c r="A3863">
        <v>7024715</v>
      </c>
      <c r="B3863" t="s">
        <v>14052</v>
      </c>
      <c r="C3863" t="str">
        <f>"9783837631197"</f>
        <v>9783837631197</v>
      </c>
      <c r="D3863" t="str">
        <f>"9783839431191"</f>
        <v>9783839431191</v>
      </c>
      <c r="E3863" t="s">
        <v>8919</v>
      </c>
      <c r="F3863" s="1">
        <v>44682</v>
      </c>
      <c r="G3863" t="s">
        <v>14053</v>
      </c>
      <c r="H3863" t="s">
        <v>64</v>
      </c>
      <c r="L3863" t="s">
        <v>291</v>
      </c>
      <c r="M3863" t="s">
        <v>14054</v>
      </c>
    </row>
    <row r="3864" spans="1:13" x14ac:dyDescent="0.25">
      <c r="A3864">
        <v>7024717</v>
      </c>
      <c r="B3864" t="s">
        <v>14055</v>
      </c>
      <c r="C3864" t="str">
        <f>"9783837650600"</f>
        <v>9783837650600</v>
      </c>
      <c r="D3864" t="str">
        <f>"9783839450604"</f>
        <v>9783839450604</v>
      </c>
      <c r="E3864" t="s">
        <v>8919</v>
      </c>
      <c r="F3864" s="1">
        <v>44713</v>
      </c>
      <c r="G3864" t="s">
        <v>14056</v>
      </c>
      <c r="H3864" t="s">
        <v>64</v>
      </c>
      <c r="L3864" t="s">
        <v>20</v>
      </c>
      <c r="M3864" t="s">
        <v>14057</v>
      </c>
    </row>
    <row r="3865" spans="1:13" x14ac:dyDescent="0.25">
      <c r="A3865">
        <v>7024721</v>
      </c>
      <c r="B3865" t="s">
        <v>14058</v>
      </c>
      <c r="C3865" t="str">
        <f>"9783837653359"</f>
        <v>9783837653359</v>
      </c>
      <c r="D3865" t="str">
        <f>"9783839453353"</f>
        <v>9783839453353</v>
      </c>
      <c r="E3865" t="s">
        <v>8919</v>
      </c>
      <c r="F3865" s="1">
        <v>44713</v>
      </c>
      <c r="G3865" t="s">
        <v>14059</v>
      </c>
      <c r="H3865" t="s">
        <v>246</v>
      </c>
      <c r="L3865" t="s">
        <v>291</v>
      </c>
      <c r="M3865" t="s">
        <v>14060</v>
      </c>
    </row>
    <row r="3866" spans="1:13" x14ac:dyDescent="0.25">
      <c r="A3866">
        <v>7024724</v>
      </c>
      <c r="B3866" t="s">
        <v>14061</v>
      </c>
      <c r="C3866" t="str">
        <f>"9783837654998"</f>
        <v>9783837654998</v>
      </c>
      <c r="D3866" t="str">
        <f>"9783839454992"</f>
        <v>9783839454992</v>
      </c>
      <c r="E3866" t="s">
        <v>8919</v>
      </c>
      <c r="F3866" s="1">
        <v>44652</v>
      </c>
      <c r="G3866" t="s">
        <v>14062</v>
      </c>
      <c r="H3866" t="s">
        <v>64</v>
      </c>
      <c r="L3866" t="s">
        <v>291</v>
      </c>
      <c r="M3866" t="s">
        <v>14063</v>
      </c>
    </row>
    <row r="3867" spans="1:13" x14ac:dyDescent="0.25">
      <c r="A3867">
        <v>7024727</v>
      </c>
      <c r="B3867" t="s">
        <v>14064</v>
      </c>
      <c r="C3867" t="str">
        <f>"9783837655575"</f>
        <v>9783837655575</v>
      </c>
      <c r="D3867" t="str">
        <f>"9783839455579"</f>
        <v>9783839455579</v>
      </c>
      <c r="E3867" t="s">
        <v>8919</v>
      </c>
      <c r="F3867" s="1">
        <v>44621</v>
      </c>
      <c r="G3867" t="s">
        <v>14065</v>
      </c>
      <c r="H3867" t="s">
        <v>64</v>
      </c>
      <c r="L3867" t="s">
        <v>291</v>
      </c>
      <c r="M3867" t="s">
        <v>14066</v>
      </c>
    </row>
    <row r="3868" spans="1:13" x14ac:dyDescent="0.25">
      <c r="A3868">
        <v>7024728</v>
      </c>
      <c r="B3868" t="s">
        <v>14067</v>
      </c>
      <c r="C3868" t="str">
        <f>"9783743555846"</f>
        <v>9783743555846</v>
      </c>
      <c r="D3868" t="str">
        <f>"9783839455845"</f>
        <v>9783839455845</v>
      </c>
      <c r="E3868" t="s">
        <v>8919</v>
      </c>
      <c r="F3868" s="1">
        <v>44652</v>
      </c>
      <c r="G3868" t="s">
        <v>14068</v>
      </c>
      <c r="H3868" t="s">
        <v>64</v>
      </c>
      <c r="L3868" t="s">
        <v>20</v>
      </c>
      <c r="M3868" t="s">
        <v>14069</v>
      </c>
    </row>
    <row r="3869" spans="1:13" x14ac:dyDescent="0.25">
      <c r="A3869">
        <v>7024729</v>
      </c>
      <c r="B3869" t="s">
        <v>14070</v>
      </c>
      <c r="C3869" t="str">
        <f>"9783837656008"</f>
        <v>9783837656008</v>
      </c>
      <c r="D3869" t="str">
        <f>"9783839456002"</f>
        <v>9783839456002</v>
      </c>
      <c r="E3869" t="s">
        <v>8919</v>
      </c>
      <c r="F3869" s="1">
        <v>44621</v>
      </c>
      <c r="G3869" t="s">
        <v>14071</v>
      </c>
      <c r="H3869" t="s">
        <v>64</v>
      </c>
      <c r="L3869" t="s">
        <v>291</v>
      </c>
      <c r="M3869" t="s">
        <v>14072</v>
      </c>
    </row>
    <row r="3870" spans="1:13" x14ac:dyDescent="0.25">
      <c r="A3870">
        <v>7024730</v>
      </c>
      <c r="B3870" t="s">
        <v>14073</v>
      </c>
      <c r="C3870" t="str">
        <f>"9783837656015"</f>
        <v>9783837656015</v>
      </c>
      <c r="D3870" t="str">
        <f>"9783839456019"</f>
        <v>9783839456019</v>
      </c>
      <c r="E3870" t="s">
        <v>8919</v>
      </c>
      <c r="F3870" s="1">
        <v>44621</v>
      </c>
      <c r="G3870" t="s">
        <v>14071</v>
      </c>
      <c r="H3870" t="s">
        <v>64</v>
      </c>
      <c r="L3870" t="s">
        <v>20</v>
      </c>
      <c r="M3870" t="s">
        <v>14074</v>
      </c>
    </row>
    <row r="3871" spans="1:13" x14ac:dyDescent="0.25">
      <c r="A3871">
        <v>7024732</v>
      </c>
      <c r="B3871" t="s">
        <v>14075</v>
      </c>
      <c r="C3871" t="str">
        <f>"9783732856640"</f>
        <v>9783732856640</v>
      </c>
      <c r="D3871" t="str">
        <f>"9783839456644"</f>
        <v>9783839456644</v>
      </c>
      <c r="E3871" t="s">
        <v>8919</v>
      </c>
      <c r="F3871" s="1">
        <v>44652</v>
      </c>
      <c r="G3871" t="s">
        <v>14076</v>
      </c>
      <c r="H3871" t="s">
        <v>16</v>
      </c>
      <c r="L3871" t="s">
        <v>20</v>
      </c>
      <c r="M3871" t="s">
        <v>14077</v>
      </c>
    </row>
    <row r="3872" spans="1:13" x14ac:dyDescent="0.25">
      <c r="A3872">
        <v>7024735</v>
      </c>
      <c r="B3872" t="s">
        <v>14078</v>
      </c>
      <c r="C3872" t="str">
        <f>"9783837656848"</f>
        <v>9783837656848</v>
      </c>
      <c r="D3872" t="str">
        <f>"9783839456842"</f>
        <v>9783839456842</v>
      </c>
      <c r="E3872" t="s">
        <v>8919</v>
      </c>
      <c r="F3872" s="1">
        <v>44652</v>
      </c>
      <c r="G3872" t="s">
        <v>14079</v>
      </c>
      <c r="H3872" t="s">
        <v>64</v>
      </c>
      <c r="L3872" t="s">
        <v>291</v>
      </c>
      <c r="M3872" t="s">
        <v>14080</v>
      </c>
    </row>
    <row r="3873" spans="1:13" x14ac:dyDescent="0.25">
      <c r="A3873">
        <v>7024736</v>
      </c>
      <c r="B3873" t="s">
        <v>14081</v>
      </c>
      <c r="C3873" t="str">
        <f>"9783837657012"</f>
        <v>9783837657012</v>
      </c>
      <c r="D3873" t="str">
        <f>"9783839457016"</f>
        <v>9783839457016</v>
      </c>
      <c r="E3873" t="s">
        <v>8919</v>
      </c>
      <c r="F3873" s="1">
        <v>44713</v>
      </c>
      <c r="G3873" t="s">
        <v>14082</v>
      </c>
      <c r="H3873" t="s">
        <v>64</v>
      </c>
      <c r="L3873" t="s">
        <v>291</v>
      </c>
      <c r="M3873" t="s">
        <v>14083</v>
      </c>
    </row>
    <row r="3874" spans="1:13" x14ac:dyDescent="0.25">
      <c r="A3874">
        <v>7024737</v>
      </c>
      <c r="B3874" t="s">
        <v>14084</v>
      </c>
      <c r="C3874" t="str">
        <f>"9783837657050"</f>
        <v>9783837657050</v>
      </c>
      <c r="D3874" t="str">
        <f>"9783839457054"</f>
        <v>9783839457054</v>
      </c>
      <c r="E3874" t="s">
        <v>8919</v>
      </c>
      <c r="F3874" s="1">
        <v>44652</v>
      </c>
      <c r="G3874" t="s">
        <v>14085</v>
      </c>
      <c r="H3874" t="s">
        <v>64</v>
      </c>
      <c r="L3874" t="s">
        <v>291</v>
      </c>
      <c r="M3874" t="s">
        <v>14086</v>
      </c>
    </row>
    <row r="3875" spans="1:13" x14ac:dyDescent="0.25">
      <c r="A3875">
        <v>7024738</v>
      </c>
      <c r="B3875" t="s">
        <v>14087</v>
      </c>
      <c r="C3875" t="str">
        <f>"9783837657074"</f>
        <v>9783837657074</v>
      </c>
      <c r="D3875" t="str">
        <f>"9783839457078"</f>
        <v>9783839457078</v>
      </c>
      <c r="E3875" t="s">
        <v>8919</v>
      </c>
      <c r="F3875" s="1">
        <v>44682</v>
      </c>
      <c r="G3875" t="s">
        <v>14088</v>
      </c>
      <c r="H3875" t="s">
        <v>9621</v>
      </c>
      <c r="L3875" t="s">
        <v>291</v>
      </c>
      <c r="M3875" t="s">
        <v>14089</v>
      </c>
    </row>
    <row r="3876" spans="1:13" x14ac:dyDescent="0.25">
      <c r="A3876">
        <v>7024740</v>
      </c>
      <c r="B3876" t="s">
        <v>14090</v>
      </c>
      <c r="C3876" t="str">
        <f>"9783837657876"</f>
        <v>9783837657876</v>
      </c>
      <c r="D3876" t="str">
        <f>"9783839457870"</f>
        <v>9783839457870</v>
      </c>
      <c r="E3876" t="s">
        <v>8919</v>
      </c>
      <c r="F3876" s="1">
        <v>44621</v>
      </c>
      <c r="G3876" t="s">
        <v>14091</v>
      </c>
      <c r="H3876" t="s">
        <v>64</v>
      </c>
      <c r="L3876" t="s">
        <v>20</v>
      </c>
      <c r="M3876" t="s">
        <v>14092</v>
      </c>
    </row>
    <row r="3877" spans="1:13" x14ac:dyDescent="0.25">
      <c r="A3877">
        <v>7024742</v>
      </c>
      <c r="B3877" t="s">
        <v>14093</v>
      </c>
      <c r="C3877" t="str">
        <f>"9783837657951"</f>
        <v>9783837657951</v>
      </c>
      <c r="D3877" t="str">
        <f>"9783839457955"</f>
        <v>9783839457955</v>
      </c>
      <c r="E3877" t="s">
        <v>8919</v>
      </c>
      <c r="F3877" s="1">
        <v>44682</v>
      </c>
      <c r="G3877" t="s">
        <v>14094</v>
      </c>
      <c r="H3877" t="s">
        <v>64</v>
      </c>
      <c r="L3877" t="s">
        <v>291</v>
      </c>
      <c r="M3877" t="s">
        <v>14095</v>
      </c>
    </row>
    <row r="3878" spans="1:13" x14ac:dyDescent="0.25">
      <c r="A3878">
        <v>7024743</v>
      </c>
      <c r="B3878" t="s">
        <v>14096</v>
      </c>
      <c r="C3878" t="str">
        <f>"9783837658071"</f>
        <v>9783837658071</v>
      </c>
      <c r="D3878" t="str">
        <f>"9783839458075"</f>
        <v>9783839458075</v>
      </c>
      <c r="E3878" t="s">
        <v>8919</v>
      </c>
      <c r="F3878" s="1">
        <v>44621</v>
      </c>
      <c r="G3878" t="s">
        <v>14097</v>
      </c>
      <c r="H3878" t="s">
        <v>64</v>
      </c>
      <c r="L3878" t="s">
        <v>291</v>
      </c>
      <c r="M3878" t="s">
        <v>14098</v>
      </c>
    </row>
    <row r="3879" spans="1:13" x14ac:dyDescent="0.25">
      <c r="A3879">
        <v>7024744</v>
      </c>
      <c r="B3879" t="s">
        <v>14099</v>
      </c>
      <c r="C3879" t="str">
        <f>"9783837658507"</f>
        <v>9783837658507</v>
      </c>
      <c r="D3879" t="str">
        <f>"9783839458501"</f>
        <v>9783839458501</v>
      </c>
      <c r="E3879" t="s">
        <v>8919</v>
      </c>
      <c r="F3879" s="1">
        <v>44621</v>
      </c>
      <c r="G3879" t="s">
        <v>14100</v>
      </c>
      <c r="H3879" t="s">
        <v>806</v>
      </c>
      <c r="L3879" t="s">
        <v>291</v>
      </c>
      <c r="M3879" t="s">
        <v>14101</v>
      </c>
    </row>
    <row r="3880" spans="1:13" x14ac:dyDescent="0.25">
      <c r="A3880">
        <v>7024745</v>
      </c>
      <c r="B3880" t="s">
        <v>14102</v>
      </c>
      <c r="C3880" t="str">
        <f>"9783837658521"</f>
        <v>9783837658521</v>
      </c>
      <c r="D3880" t="str">
        <f>"9783839458525"</f>
        <v>9783839458525</v>
      </c>
      <c r="E3880" t="s">
        <v>8919</v>
      </c>
      <c r="F3880" s="1">
        <v>44652</v>
      </c>
      <c r="G3880" t="s">
        <v>14103</v>
      </c>
      <c r="H3880" t="s">
        <v>139</v>
      </c>
      <c r="L3880" t="s">
        <v>291</v>
      </c>
      <c r="M3880" t="s">
        <v>14104</v>
      </c>
    </row>
    <row r="3881" spans="1:13" x14ac:dyDescent="0.25">
      <c r="A3881">
        <v>7024746</v>
      </c>
      <c r="B3881" t="s">
        <v>14105</v>
      </c>
      <c r="C3881" t="str">
        <f>"9783837658866"</f>
        <v>9783837658866</v>
      </c>
      <c r="D3881" t="str">
        <f>"9783839458860"</f>
        <v>9783839458860</v>
      </c>
      <c r="E3881" t="s">
        <v>8919</v>
      </c>
      <c r="F3881" s="1">
        <v>44652</v>
      </c>
      <c r="G3881" t="s">
        <v>14106</v>
      </c>
      <c r="H3881" t="s">
        <v>139</v>
      </c>
      <c r="L3881" t="s">
        <v>291</v>
      </c>
      <c r="M3881" t="s">
        <v>14107</v>
      </c>
    </row>
    <row r="3882" spans="1:13" x14ac:dyDescent="0.25">
      <c r="A3882">
        <v>7024747</v>
      </c>
      <c r="B3882" t="s">
        <v>14108</v>
      </c>
      <c r="C3882" t="str">
        <f>"9783837659078"</f>
        <v>9783837659078</v>
      </c>
      <c r="D3882" t="str">
        <f>"9783839459072"</f>
        <v>9783839459072</v>
      </c>
      <c r="E3882" t="s">
        <v>8919</v>
      </c>
      <c r="F3882" s="1">
        <v>44713</v>
      </c>
      <c r="G3882" t="s">
        <v>14109</v>
      </c>
      <c r="H3882" t="s">
        <v>30</v>
      </c>
      <c r="L3882" t="s">
        <v>4340</v>
      </c>
      <c r="M3882" t="s">
        <v>14110</v>
      </c>
    </row>
    <row r="3883" spans="1:13" x14ac:dyDescent="0.25">
      <c r="A3883">
        <v>7024748</v>
      </c>
      <c r="B3883" t="s">
        <v>14111</v>
      </c>
      <c r="C3883" t="str">
        <f>"9783837659290"</f>
        <v>9783837659290</v>
      </c>
      <c r="D3883" t="str">
        <f>"9783839459294"</f>
        <v>9783839459294</v>
      </c>
      <c r="E3883" t="s">
        <v>8919</v>
      </c>
      <c r="F3883" s="1">
        <v>44713</v>
      </c>
      <c r="G3883" t="s">
        <v>14112</v>
      </c>
      <c r="H3883" t="s">
        <v>139</v>
      </c>
      <c r="L3883" t="s">
        <v>291</v>
      </c>
      <c r="M3883" t="s">
        <v>14113</v>
      </c>
    </row>
    <row r="3884" spans="1:13" x14ac:dyDescent="0.25">
      <c r="A3884">
        <v>7024751</v>
      </c>
      <c r="B3884" t="s">
        <v>14114</v>
      </c>
      <c r="C3884" t="str">
        <f>"9783837659733"</f>
        <v>9783837659733</v>
      </c>
      <c r="D3884" t="str">
        <f>"9783839459737"</f>
        <v>9783839459737</v>
      </c>
      <c r="E3884" t="s">
        <v>8919</v>
      </c>
      <c r="F3884" s="1">
        <v>44682</v>
      </c>
      <c r="G3884" t="s">
        <v>14115</v>
      </c>
      <c r="H3884" t="s">
        <v>64</v>
      </c>
      <c r="L3884" t="s">
        <v>20</v>
      </c>
      <c r="M3884" t="s">
        <v>14116</v>
      </c>
    </row>
    <row r="3885" spans="1:13" x14ac:dyDescent="0.25">
      <c r="A3885">
        <v>7024752</v>
      </c>
      <c r="B3885" t="s">
        <v>14117</v>
      </c>
      <c r="C3885" t="str">
        <f>"9783837659849"</f>
        <v>9783837659849</v>
      </c>
      <c r="D3885" t="str">
        <f>"9783839459843"</f>
        <v>9783839459843</v>
      </c>
      <c r="E3885" t="s">
        <v>8919</v>
      </c>
      <c r="F3885" s="1">
        <v>44652</v>
      </c>
      <c r="G3885" t="s">
        <v>14118</v>
      </c>
      <c r="H3885" t="s">
        <v>363</v>
      </c>
      <c r="L3885" t="s">
        <v>291</v>
      </c>
      <c r="M3885" t="s">
        <v>14119</v>
      </c>
    </row>
    <row r="3886" spans="1:13" x14ac:dyDescent="0.25">
      <c r="A3886">
        <v>7024753</v>
      </c>
      <c r="B3886" t="s">
        <v>14120</v>
      </c>
      <c r="C3886" t="str">
        <f>"9783837659856"</f>
        <v>9783837659856</v>
      </c>
      <c r="D3886" t="str">
        <f>"9783839459850"</f>
        <v>9783839459850</v>
      </c>
      <c r="E3886" t="s">
        <v>8919</v>
      </c>
      <c r="F3886" s="1">
        <v>44713</v>
      </c>
      <c r="G3886" t="s">
        <v>14121</v>
      </c>
      <c r="H3886" t="s">
        <v>64</v>
      </c>
      <c r="L3886" t="s">
        <v>291</v>
      </c>
      <c r="M3886" t="s">
        <v>14122</v>
      </c>
    </row>
    <row r="3887" spans="1:13" x14ac:dyDescent="0.25">
      <c r="A3887">
        <v>7024755</v>
      </c>
      <c r="B3887" t="s">
        <v>14123</v>
      </c>
      <c r="C3887" t="str">
        <f>"9783837660098"</f>
        <v>9783837660098</v>
      </c>
      <c r="D3887" t="str">
        <f>"9783839460092"</f>
        <v>9783839460092</v>
      </c>
      <c r="E3887" t="s">
        <v>8919</v>
      </c>
      <c r="F3887" s="1">
        <v>44621</v>
      </c>
      <c r="G3887" t="s">
        <v>14124</v>
      </c>
      <c r="H3887" t="s">
        <v>64</v>
      </c>
      <c r="L3887" t="s">
        <v>20</v>
      </c>
      <c r="M3887" t="s">
        <v>14125</v>
      </c>
    </row>
    <row r="3888" spans="1:13" x14ac:dyDescent="0.25">
      <c r="A3888">
        <v>7024759</v>
      </c>
      <c r="B3888" t="s">
        <v>14126</v>
      </c>
      <c r="C3888" t="str">
        <f>"9783732860340"</f>
        <v>9783732860340</v>
      </c>
      <c r="D3888" t="str">
        <f>"9783839460344"</f>
        <v>9783839460344</v>
      </c>
      <c r="E3888" t="s">
        <v>8919</v>
      </c>
      <c r="F3888" s="1">
        <v>44713</v>
      </c>
      <c r="G3888" t="s">
        <v>14127</v>
      </c>
      <c r="H3888" t="s">
        <v>363</v>
      </c>
      <c r="L3888" t="s">
        <v>291</v>
      </c>
      <c r="M3888" t="s">
        <v>14128</v>
      </c>
    </row>
    <row r="3889" spans="1:13" x14ac:dyDescent="0.25">
      <c r="A3889">
        <v>7024760</v>
      </c>
      <c r="B3889" t="s">
        <v>14129</v>
      </c>
      <c r="C3889" t="str">
        <f>"9783837660432"</f>
        <v>9783837660432</v>
      </c>
      <c r="D3889" t="str">
        <f>"9783839460436"</f>
        <v>9783839460436</v>
      </c>
      <c r="E3889" t="s">
        <v>8919</v>
      </c>
      <c r="F3889" s="1">
        <v>44652</v>
      </c>
      <c r="G3889" t="s">
        <v>14130</v>
      </c>
      <c r="H3889" t="s">
        <v>310</v>
      </c>
      <c r="L3889" t="s">
        <v>291</v>
      </c>
      <c r="M3889" t="s">
        <v>14131</v>
      </c>
    </row>
    <row r="3890" spans="1:13" x14ac:dyDescent="0.25">
      <c r="A3890">
        <v>7024764</v>
      </c>
      <c r="B3890" t="s">
        <v>14132</v>
      </c>
      <c r="C3890" t="str">
        <f>"9783837660586"</f>
        <v>9783837660586</v>
      </c>
      <c r="D3890" t="str">
        <f>"9783839460580"</f>
        <v>9783839460580</v>
      </c>
      <c r="E3890" t="s">
        <v>8919</v>
      </c>
      <c r="F3890" s="1">
        <v>44652</v>
      </c>
      <c r="G3890" t="s">
        <v>14133</v>
      </c>
      <c r="H3890" t="s">
        <v>363</v>
      </c>
      <c r="L3890" t="s">
        <v>291</v>
      </c>
      <c r="M3890" t="s">
        <v>14134</v>
      </c>
    </row>
    <row r="3891" spans="1:13" x14ac:dyDescent="0.25">
      <c r="A3891">
        <v>7024765</v>
      </c>
      <c r="B3891" t="s">
        <v>14135</v>
      </c>
      <c r="C3891" t="str">
        <f>"9783732860647"</f>
        <v>9783732860647</v>
      </c>
      <c r="D3891" t="str">
        <f>"9783839460641"</f>
        <v>9783839460641</v>
      </c>
      <c r="E3891" t="s">
        <v>8919</v>
      </c>
      <c r="F3891" s="1">
        <v>44652</v>
      </c>
      <c r="G3891" t="s">
        <v>14136</v>
      </c>
      <c r="H3891" t="s">
        <v>30</v>
      </c>
      <c r="L3891" t="s">
        <v>291</v>
      </c>
      <c r="M3891" t="s">
        <v>14137</v>
      </c>
    </row>
    <row r="3892" spans="1:13" x14ac:dyDescent="0.25">
      <c r="A3892">
        <v>7024767</v>
      </c>
      <c r="B3892" t="s">
        <v>14138</v>
      </c>
      <c r="C3892" t="str">
        <f>"9783837660760"</f>
        <v>9783837660760</v>
      </c>
      <c r="D3892" t="str">
        <f>"9783839460764"</f>
        <v>9783839460764</v>
      </c>
      <c r="E3892" t="s">
        <v>8919</v>
      </c>
      <c r="F3892" s="1">
        <v>44562</v>
      </c>
      <c r="G3892" t="s">
        <v>14139</v>
      </c>
      <c r="H3892" t="s">
        <v>64</v>
      </c>
      <c r="L3892" t="s">
        <v>291</v>
      </c>
      <c r="M3892" t="s">
        <v>14140</v>
      </c>
    </row>
    <row r="3893" spans="1:13" x14ac:dyDescent="0.25">
      <c r="A3893">
        <v>7024769</v>
      </c>
      <c r="B3893" t="s">
        <v>14141</v>
      </c>
      <c r="C3893" t="str">
        <f>"9783837660814"</f>
        <v>9783837660814</v>
      </c>
      <c r="D3893" t="str">
        <f>"9783839460818"</f>
        <v>9783839460818</v>
      </c>
      <c r="E3893" t="s">
        <v>8919</v>
      </c>
      <c r="F3893" s="1">
        <v>44652</v>
      </c>
      <c r="G3893" t="s">
        <v>14142</v>
      </c>
      <c r="H3893" t="s">
        <v>64</v>
      </c>
      <c r="L3893" t="s">
        <v>291</v>
      </c>
      <c r="M3893" t="s">
        <v>14143</v>
      </c>
    </row>
    <row r="3894" spans="1:13" x14ac:dyDescent="0.25">
      <c r="A3894">
        <v>7024770</v>
      </c>
      <c r="B3894" t="s">
        <v>14144</v>
      </c>
      <c r="C3894" t="str">
        <f>"9783837660883"</f>
        <v>9783837660883</v>
      </c>
      <c r="D3894" t="str">
        <f>"9783839460887"</f>
        <v>9783839460887</v>
      </c>
      <c r="E3894" t="s">
        <v>8919</v>
      </c>
      <c r="F3894" s="1">
        <v>44682</v>
      </c>
      <c r="G3894" t="s">
        <v>14145</v>
      </c>
      <c r="H3894" t="s">
        <v>70</v>
      </c>
      <c r="L3894" t="s">
        <v>291</v>
      </c>
      <c r="M3894" t="s">
        <v>14146</v>
      </c>
    </row>
    <row r="3895" spans="1:13" x14ac:dyDescent="0.25">
      <c r="A3895">
        <v>7024771</v>
      </c>
      <c r="B3895" t="s">
        <v>14147</v>
      </c>
      <c r="C3895" t="str">
        <f>"9783837660890"</f>
        <v>9783837660890</v>
      </c>
      <c r="D3895" t="str">
        <f>"9783839460894"</f>
        <v>9783839460894</v>
      </c>
      <c r="E3895" t="s">
        <v>8919</v>
      </c>
      <c r="F3895" s="1">
        <v>44713</v>
      </c>
      <c r="G3895" t="s">
        <v>14148</v>
      </c>
      <c r="H3895" t="s">
        <v>30</v>
      </c>
      <c r="L3895" t="s">
        <v>20</v>
      </c>
      <c r="M3895" t="s">
        <v>14149</v>
      </c>
    </row>
    <row r="3896" spans="1:13" x14ac:dyDescent="0.25">
      <c r="A3896">
        <v>7024772</v>
      </c>
      <c r="B3896" t="s">
        <v>14150</v>
      </c>
      <c r="C3896" t="str">
        <f>"9783837660944"</f>
        <v>9783837660944</v>
      </c>
      <c r="D3896" t="str">
        <f>"9783839460948"</f>
        <v>9783839460948</v>
      </c>
      <c r="E3896" t="s">
        <v>8919</v>
      </c>
      <c r="F3896" s="1">
        <v>44652</v>
      </c>
      <c r="G3896" t="s">
        <v>14151</v>
      </c>
      <c r="H3896" t="s">
        <v>64</v>
      </c>
      <c r="L3896" t="s">
        <v>291</v>
      </c>
      <c r="M3896" t="s">
        <v>14152</v>
      </c>
    </row>
    <row r="3897" spans="1:13" x14ac:dyDescent="0.25">
      <c r="A3897">
        <v>7024773</v>
      </c>
      <c r="B3897" t="s">
        <v>14153</v>
      </c>
      <c r="C3897" t="str">
        <f>"9783837660999"</f>
        <v>9783837660999</v>
      </c>
      <c r="D3897" t="str">
        <f>"9783839460993"</f>
        <v>9783839460993</v>
      </c>
      <c r="E3897" t="s">
        <v>8919</v>
      </c>
      <c r="F3897" s="1">
        <v>44713</v>
      </c>
      <c r="G3897" t="s">
        <v>14154</v>
      </c>
      <c r="H3897" t="s">
        <v>64</v>
      </c>
      <c r="L3897" t="s">
        <v>20</v>
      </c>
      <c r="M3897" t="s">
        <v>14155</v>
      </c>
    </row>
    <row r="3898" spans="1:13" x14ac:dyDescent="0.25">
      <c r="A3898">
        <v>7024775</v>
      </c>
      <c r="B3898" t="s">
        <v>14156</v>
      </c>
      <c r="C3898" t="str">
        <f>"9783837661040"</f>
        <v>9783837661040</v>
      </c>
      <c r="D3898" t="str">
        <f>"9783839461044"</f>
        <v>9783839461044</v>
      </c>
      <c r="E3898" t="s">
        <v>8919</v>
      </c>
      <c r="F3898" s="1">
        <v>44593</v>
      </c>
      <c r="G3898" t="s">
        <v>14157</v>
      </c>
      <c r="H3898" t="s">
        <v>246</v>
      </c>
      <c r="L3898" t="s">
        <v>20</v>
      </c>
      <c r="M3898" t="s">
        <v>14158</v>
      </c>
    </row>
    <row r="3899" spans="1:13" x14ac:dyDescent="0.25">
      <c r="A3899">
        <v>7024777</v>
      </c>
      <c r="B3899" t="s">
        <v>14159</v>
      </c>
      <c r="C3899" t="str">
        <f>"9783732861255"</f>
        <v>9783732861255</v>
      </c>
      <c r="D3899" t="str">
        <f>"9783839461259"</f>
        <v>9783839461259</v>
      </c>
      <c r="E3899" t="s">
        <v>8919</v>
      </c>
      <c r="F3899" s="1">
        <v>44682</v>
      </c>
      <c r="G3899" t="s">
        <v>14160</v>
      </c>
      <c r="H3899" t="s">
        <v>64</v>
      </c>
      <c r="L3899" t="s">
        <v>291</v>
      </c>
      <c r="M3899" t="s">
        <v>14161</v>
      </c>
    </row>
    <row r="3900" spans="1:13" x14ac:dyDescent="0.25">
      <c r="A3900">
        <v>7024778</v>
      </c>
      <c r="B3900" t="s">
        <v>14162</v>
      </c>
      <c r="C3900" t="str">
        <f>"9783837661309"</f>
        <v>9783837661309</v>
      </c>
      <c r="D3900" t="str">
        <f>"9783839461303"</f>
        <v>9783839461303</v>
      </c>
      <c r="E3900" t="s">
        <v>8919</v>
      </c>
      <c r="F3900" s="1">
        <v>44682</v>
      </c>
      <c r="G3900" t="s">
        <v>14163</v>
      </c>
      <c r="H3900" t="s">
        <v>3297</v>
      </c>
      <c r="L3900" t="s">
        <v>20</v>
      </c>
      <c r="M3900" t="s">
        <v>14164</v>
      </c>
    </row>
    <row r="3901" spans="1:13" x14ac:dyDescent="0.25">
      <c r="A3901">
        <v>7024779</v>
      </c>
      <c r="B3901" t="s">
        <v>14165</v>
      </c>
      <c r="C3901" t="str">
        <f>"9783837661316"</f>
        <v>9783837661316</v>
      </c>
      <c r="D3901" t="str">
        <f>"9783839461310"</f>
        <v>9783839461310</v>
      </c>
      <c r="E3901" t="s">
        <v>8919</v>
      </c>
      <c r="F3901" s="1">
        <v>44621</v>
      </c>
      <c r="G3901" t="s">
        <v>14166</v>
      </c>
      <c r="H3901" t="s">
        <v>64</v>
      </c>
      <c r="L3901" t="s">
        <v>291</v>
      </c>
      <c r="M3901" t="s">
        <v>14167</v>
      </c>
    </row>
    <row r="3902" spans="1:13" x14ac:dyDescent="0.25">
      <c r="A3902">
        <v>7024781</v>
      </c>
      <c r="B3902" t="s">
        <v>14168</v>
      </c>
      <c r="C3902" t="str">
        <f>"9783837661439"</f>
        <v>9783837661439</v>
      </c>
      <c r="D3902" t="str">
        <f>"9783839461433"</f>
        <v>9783839461433</v>
      </c>
      <c r="E3902" t="s">
        <v>8919</v>
      </c>
      <c r="F3902" s="1">
        <v>44652</v>
      </c>
      <c r="G3902" t="s">
        <v>9020</v>
      </c>
      <c r="H3902" t="s">
        <v>16</v>
      </c>
      <c r="L3902" t="s">
        <v>291</v>
      </c>
      <c r="M3902" t="s">
        <v>14169</v>
      </c>
    </row>
    <row r="3903" spans="1:13" x14ac:dyDescent="0.25">
      <c r="A3903">
        <v>7024782</v>
      </c>
      <c r="B3903" t="s">
        <v>14170</v>
      </c>
      <c r="C3903" t="str">
        <f>"9783837661491"</f>
        <v>9783837661491</v>
      </c>
      <c r="D3903" t="str">
        <f>"9783839461495"</f>
        <v>9783839461495</v>
      </c>
      <c r="E3903" t="s">
        <v>8919</v>
      </c>
      <c r="F3903" s="1">
        <v>44682</v>
      </c>
      <c r="G3903" t="s">
        <v>14171</v>
      </c>
      <c r="H3903" t="s">
        <v>806</v>
      </c>
      <c r="L3903" t="s">
        <v>291</v>
      </c>
      <c r="M3903" t="s">
        <v>14172</v>
      </c>
    </row>
    <row r="3904" spans="1:13" x14ac:dyDescent="0.25">
      <c r="A3904">
        <v>7024783</v>
      </c>
      <c r="B3904" t="s">
        <v>14173</v>
      </c>
      <c r="C3904" t="str">
        <f>"9783732861521"</f>
        <v>9783732861521</v>
      </c>
      <c r="D3904" t="str">
        <f>"9783839461525"</f>
        <v>9783839461525</v>
      </c>
      <c r="E3904" t="s">
        <v>8919</v>
      </c>
      <c r="F3904" s="1">
        <v>44652</v>
      </c>
      <c r="G3904" t="s">
        <v>14174</v>
      </c>
      <c r="H3904" t="s">
        <v>64</v>
      </c>
      <c r="L3904" t="s">
        <v>291</v>
      </c>
      <c r="M3904" t="s">
        <v>14175</v>
      </c>
    </row>
    <row r="3905" spans="1:13" x14ac:dyDescent="0.25">
      <c r="A3905">
        <v>7024784</v>
      </c>
      <c r="B3905" t="s">
        <v>14176</v>
      </c>
      <c r="C3905" t="str">
        <f>"9783837661576"</f>
        <v>9783837661576</v>
      </c>
      <c r="D3905" t="str">
        <f>"9783839461570"</f>
        <v>9783839461570</v>
      </c>
      <c r="E3905" t="s">
        <v>8919</v>
      </c>
      <c r="F3905" s="1">
        <v>44652</v>
      </c>
      <c r="G3905" t="s">
        <v>14177</v>
      </c>
      <c r="H3905" t="s">
        <v>70</v>
      </c>
      <c r="L3905" t="s">
        <v>291</v>
      </c>
      <c r="M3905" t="s">
        <v>14178</v>
      </c>
    </row>
    <row r="3906" spans="1:13" x14ac:dyDescent="0.25">
      <c r="A3906">
        <v>7024785</v>
      </c>
      <c r="B3906" t="s">
        <v>14179</v>
      </c>
      <c r="C3906" t="str">
        <f>"9783837661620"</f>
        <v>9783837661620</v>
      </c>
      <c r="D3906" t="str">
        <f>"9783839461624"</f>
        <v>9783839461624</v>
      </c>
      <c r="E3906" t="s">
        <v>8919</v>
      </c>
      <c r="F3906" s="1">
        <v>44652</v>
      </c>
      <c r="G3906" t="s">
        <v>14180</v>
      </c>
      <c r="H3906" t="s">
        <v>70</v>
      </c>
      <c r="L3906" t="s">
        <v>291</v>
      </c>
      <c r="M3906" t="s">
        <v>14181</v>
      </c>
    </row>
    <row r="3907" spans="1:13" x14ac:dyDescent="0.25">
      <c r="A3907">
        <v>7024787</v>
      </c>
      <c r="B3907" t="s">
        <v>14182</v>
      </c>
      <c r="C3907" t="str">
        <f>"9783837661675"</f>
        <v>9783837661675</v>
      </c>
      <c r="D3907" t="str">
        <f>"9783839461679"</f>
        <v>9783839461679</v>
      </c>
      <c r="E3907" t="s">
        <v>8919</v>
      </c>
      <c r="F3907" s="1">
        <v>44682</v>
      </c>
      <c r="G3907" t="s">
        <v>14183</v>
      </c>
      <c r="H3907" t="s">
        <v>246</v>
      </c>
      <c r="L3907" t="s">
        <v>291</v>
      </c>
      <c r="M3907" t="s">
        <v>14184</v>
      </c>
    </row>
    <row r="3908" spans="1:13" x14ac:dyDescent="0.25">
      <c r="A3908">
        <v>7024789</v>
      </c>
      <c r="B3908" t="s">
        <v>14185</v>
      </c>
      <c r="C3908" t="str">
        <f>"9783743561816"</f>
        <v>9783743561816</v>
      </c>
      <c r="D3908" t="str">
        <f>"9783839461815"</f>
        <v>9783839461815</v>
      </c>
      <c r="E3908" t="s">
        <v>8919</v>
      </c>
      <c r="F3908" s="1">
        <v>44682</v>
      </c>
      <c r="G3908" t="s">
        <v>14186</v>
      </c>
      <c r="H3908" t="s">
        <v>310</v>
      </c>
      <c r="L3908" t="s">
        <v>20</v>
      </c>
      <c r="M3908" t="s">
        <v>14187</v>
      </c>
    </row>
    <row r="3909" spans="1:13" x14ac:dyDescent="0.25">
      <c r="A3909">
        <v>7024794</v>
      </c>
      <c r="B3909" t="s">
        <v>14188</v>
      </c>
      <c r="C3909" t="str">
        <f>"9783732861965"</f>
        <v>9783732861965</v>
      </c>
      <c r="D3909" t="str">
        <f>"9783839461969"</f>
        <v>9783839461969</v>
      </c>
      <c r="E3909" t="s">
        <v>8919</v>
      </c>
      <c r="F3909" s="1">
        <v>44713</v>
      </c>
      <c r="G3909" t="s">
        <v>14189</v>
      </c>
      <c r="H3909" t="s">
        <v>30</v>
      </c>
      <c r="L3909" t="s">
        <v>291</v>
      </c>
      <c r="M3909" t="s">
        <v>14190</v>
      </c>
    </row>
    <row r="3910" spans="1:13" x14ac:dyDescent="0.25">
      <c r="A3910">
        <v>7024798</v>
      </c>
      <c r="B3910" t="s">
        <v>14191</v>
      </c>
      <c r="C3910" t="str">
        <f>"9783732862153"</f>
        <v>9783732862153</v>
      </c>
      <c r="D3910" t="str">
        <f>"9783839462157"</f>
        <v>9783839462157</v>
      </c>
      <c r="E3910" t="s">
        <v>8919</v>
      </c>
      <c r="F3910" s="1">
        <v>44682</v>
      </c>
      <c r="G3910" t="s">
        <v>14192</v>
      </c>
      <c r="H3910" t="s">
        <v>30</v>
      </c>
      <c r="L3910" t="s">
        <v>291</v>
      </c>
      <c r="M3910" t="s">
        <v>14193</v>
      </c>
    </row>
    <row r="3911" spans="1:13" x14ac:dyDescent="0.25">
      <c r="A3911">
        <v>7024802</v>
      </c>
      <c r="B3911" t="s">
        <v>14194</v>
      </c>
      <c r="C3911" t="str">
        <f>"9783837662245"</f>
        <v>9783837662245</v>
      </c>
      <c r="D3911" t="str">
        <f>"9783839462249"</f>
        <v>9783839462249</v>
      </c>
      <c r="E3911" t="s">
        <v>8919</v>
      </c>
      <c r="F3911" s="1">
        <v>44713</v>
      </c>
      <c r="G3911" t="s">
        <v>14195</v>
      </c>
      <c r="H3911" t="s">
        <v>363</v>
      </c>
      <c r="L3911" t="s">
        <v>291</v>
      </c>
      <c r="M3911" t="s">
        <v>14196</v>
      </c>
    </row>
    <row r="3912" spans="1:13" x14ac:dyDescent="0.25">
      <c r="A3912">
        <v>7024803</v>
      </c>
      <c r="B3912" t="s">
        <v>14197</v>
      </c>
      <c r="C3912" t="str">
        <f>"9783732862269"</f>
        <v>9783732862269</v>
      </c>
      <c r="D3912" t="str">
        <f>"9783839462263"</f>
        <v>9783839462263</v>
      </c>
      <c r="E3912" t="s">
        <v>8919</v>
      </c>
      <c r="F3912" s="1">
        <v>44713</v>
      </c>
      <c r="G3912" t="s">
        <v>14198</v>
      </c>
      <c r="H3912" t="s">
        <v>64</v>
      </c>
      <c r="L3912" t="s">
        <v>291</v>
      </c>
      <c r="M3912" t="s">
        <v>14199</v>
      </c>
    </row>
    <row r="3913" spans="1:13" x14ac:dyDescent="0.25">
      <c r="A3913">
        <v>7024805</v>
      </c>
      <c r="B3913" t="s">
        <v>14200</v>
      </c>
      <c r="C3913" t="str">
        <f>"9783837662320"</f>
        <v>9783837662320</v>
      </c>
      <c r="D3913" t="str">
        <f>"9783839462324"</f>
        <v>9783839462324</v>
      </c>
      <c r="E3913" t="s">
        <v>8919</v>
      </c>
      <c r="F3913" s="1">
        <v>44682</v>
      </c>
      <c r="G3913" t="s">
        <v>14201</v>
      </c>
      <c r="H3913" t="s">
        <v>64</v>
      </c>
      <c r="L3913" t="s">
        <v>20</v>
      </c>
      <c r="M3913" t="s">
        <v>14202</v>
      </c>
    </row>
    <row r="3914" spans="1:13" x14ac:dyDescent="0.25">
      <c r="A3914">
        <v>7024808</v>
      </c>
      <c r="B3914" t="s">
        <v>14203</v>
      </c>
      <c r="C3914" t="str">
        <f>"9783837662535"</f>
        <v>9783837662535</v>
      </c>
      <c r="D3914" t="str">
        <f>"9783839462539"</f>
        <v>9783839462539</v>
      </c>
      <c r="E3914" t="s">
        <v>8919</v>
      </c>
      <c r="F3914" s="1">
        <v>44652</v>
      </c>
      <c r="G3914" t="s">
        <v>14204</v>
      </c>
      <c r="H3914" t="s">
        <v>64</v>
      </c>
      <c r="L3914" t="s">
        <v>291</v>
      </c>
      <c r="M3914" t="s">
        <v>14205</v>
      </c>
    </row>
    <row r="3915" spans="1:13" x14ac:dyDescent="0.25">
      <c r="A3915">
        <v>7024814</v>
      </c>
      <c r="B3915" t="s">
        <v>14206</v>
      </c>
      <c r="C3915" t="str">
        <f>"9783732862757"</f>
        <v>9783732862757</v>
      </c>
      <c r="D3915" t="str">
        <f>"9783839462751"</f>
        <v>9783839462751</v>
      </c>
      <c r="E3915" t="s">
        <v>8919</v>
      </c>
      <c r="F3915" s="1">
        <v>44713</v>
      </c>
      <c r="G3915" t="s">
        <v>14207</v>
      </c>
      <c r="H3915" t="s">
        <v>30</v>
      </c>
      <c r="L3915" t="s">
        <v>291</v>
      </c>
      <c r="M3915" t="s">
        <v>14208</v>
      </c>
    </row>
    <row r="3916" spans="1:13" x14ac:dyDescent="0.25">
      <c r="A3916">
        <v>7024817</v>
      </c>
      <c r="B3916" t="s">
        <v>14209</v>
      </c>
      <c r="C3916" t="str">
        <f>"9783837663051"</f>
        <v>9783837663051</v>
      </c>
      <c r="D3916" t="str">
        <f>"9783839463055"</f>
        <v>9783839463055</v>
      </c>
      <c r="E3916" t="s">
        <v>8919</v>
      </c>
      <c r="F3916" s="1">
        <v>44682</v>
      </c>
      <c r="G3916" t="s">
        <v>14210</v>
      </c>
      <c r="H3916" t="s">
        <v>16</v>
      </c>
      <c r="L3916" t="s">
        <v>291</v>
      </c>
      <c r="M3916" t="s">
        <v>14211</v>
      </c>
    </row>
    <row r="3917" spans="1:13" x14ac:dyDescent="0.25">
      <c r="A3917">
        <v>7024818</v>
      </c>
      <c r="B3917" t="s">
        <v>14212</v>
      </c>
      <c r="C3917" t="str">
        <f>"9783732863075"</f>
        <v>9783732863075</v>
      </c>
      <c r="D3917" t="str">
        <f>"9783839463079"</f>
        <v>9783839463079</v>
      </c>
      <c r="E3917" t="s">
        <v>8919</v>
      </c>
      <c r="F3917" s="1">
        <v>44713</v>
      </c>
      <c r="G3917" t="s">
        <v>14213</v>
      </c>
      <c r="H3917" t="s">
        <v>30</v>
      </c>
      <c r="L3917" t="s">
        <v>291</v>
      </c>
      <c r="M3917" t="s">
        <v>14214</v>
      </c>
    </row>
    <row r="3918" spans="1:13" x14ac:dyDescent="0.25">
      <c r="A3918">
        <v>7024820</v>
      </c>
      <c r="B3918" t="s">
        <v>14215</v>
      </c>
      <c r="C3918" t="str">
        <f>"9783732863198"</f>
        <v>9783732863198</v>
      </c>
      <c r="D3918" t="str">
        <f>"9783839463192"</f>
        <v>9783839463192</v>
      </c>
      <c r="E3918" t="s">
        <v>8919</v>
      </c>
      <c r="F3918" s="1">
        <v>44713</v>
      </c>
      <c r="G3918" t="s">
        <v>14216</v>
      </c>
      <c r="H3918" t="s">
        <v>30</v>
      </c>
      <c r="L3918" t="s">
        <v>291</v>
      </c>
      <c r="M3918" t="s">
        <v>14217</v>
      </c>
    </row>
    <row r="3919" spans="1:13" x14ac:dyDescent="0.25">
      <c r="A3919">
        <v>7024823</v>
      </c>
      <c r="B3919" t="s">
        <v>14218</v>
      </c>
      <c r="C3919" t="str">
        <f>"9783732863327"</f>
        <v>9783732863327</v>
      </c>
      <c r="D3919" t="str">
        <f>"9783839463321"</f>
        <v>9783839463321</v>
      </c>
      <c r="E3919" t="s">
        <v>8919</v>
      </c>
      <c r="F3919" s="1">
        <v>44713</v>
      </c>
      <c r="G3919" t="s">
        <v>14219</v>
      </c>
      <c r="H3919" t="s">
        <v>30</v>
      </c>
      <c r="L3919" t="s">
        <v>291</v>
      </c>
      <c r="M3919" t="s">
        <v>14220</v>
      </c>
    </row>
    <row r="3920" spans="1:13" x14ac:dyDescent="0.25">
      <c r="A3920">
        <v>7024824</v>
      </c>
      <c r="B3920" t="s">
        <v>14221</v>
      </c>
      <c r="C3920" t="str">
        <f>"9783732863440"</f>
        <v>9783732863440</v>
      </c>
      <c r="D3920" t="str">
        <f>"9783839463444"</f>
        <v>9783839463444</v>
      </c>
      <c r="E3920" t="s">
        <v>8919</v>
      </c>
      <c r="F3920" s="1">
        <v>44713</v>
      </c>
      <c r="G3920" t="s">
        <v>14222</v>
      </c>
      <c r="H3920" t="s">
        <v>64</v>
      </c>
      <c r="L3920" t="s">
        <v>291</v>
      </c>
      <c r="M3920" t="s">
        <v>14223</v>
      </c>
    </row>
    <row r="3921" spans="1:13" x14ac:dyDescent="0.25">
      <c r="A3921">
        <v>7024826</v>
      </c>
      <c r="B3921" t="s">
        <v>14224</v>
      </c>
      <c r="C3921" t="str">
        <f>"9783732863785"</f>
        <v>9783732863785</v>
      </c>
      <c r="D3921" t="str">
        <f>"9783839463789"</f>
        <v>9783839463789</v>
      </c>
      <c r="E3921" t="s">
        <v>8919</v>
      </c>
      <c r="F3921" s="1">
        <v>44713</v>
      </c>
      <c r="G3921" t="s">
        <v>14225</v>
      </c>
      <c r="H3921" t="s">
        <v>30</v>
      </c>
      <c r="L3921" t="s">
        <v>291</v>
      </c>
      <c r="M3921" t="s">
        <v>14226</v>
      </c>
    </row>
    <row r="3922" spans="1:13" x14ac:dyDescent="0.25">
      <c r="A3922">
        <v>7024827</v>
      </c>
      <c r="B3922" t="s">
        <v>14227</v>
      </c>
      <c r="C3922" t="str">
        <f>"9783837664034"</f>
        <v>9783837664034</v>
      </c>
      <c r="D3922" t="str">
        <f>"9783839464038"</f>
        <v>9783839464038</v>
      </c>
      <c r="E3922" t="s">
        <v>8919</v>
      </c>
      <c r="F3922" s="1">
        <v>44713</v>
      </c>
      <c r="G3922" t="s">
        <v>9125</v>
      </c>
      <c r="H3922" t="s">
        <v>30</v>
      </c>
      <c r="L3922" t="s">
        <v>291</v>
      </c>
      <c r="M3922" t="s">
        <v>14228</v>
      </c>
    </row>
    <row r="3923" spans="1:13" x14ac:dyDescent="0.25">
      <c r="A3923">
        <v>7024828</v>
      </c>
      <c r="B3923" t="s">
        <v>14229</v>
      </c>
      <c r="C3923" t="str">
        <f>"9783732864263"</f>
        <v>9783732864263</v>
      </c>
      <c r="D3923" t="str">
        <f>"9783839464267"</f>
        <v>9783839464267</v>
      </c>
      <c r="E3923" t="s">
        <v>8919</v>
      </c>
      <c r="F3923" s="1">
        <v>44713</v>
      </c>
      <c r="G3923" t="s">
        <v>14230</v>
      </c>
      <c r="H3923" t="s">
        <v>64</v>
      </c>
      <c r="L3923" t="s">
        <v>291</v>
      </c>
      <c r="M3923" t="s">
        <v>14231</v>
      </c>
    </row>
    <row r="3924" spans="1:13" x14ac:dyDescent="0.25">
      <c r="A3924">
        <v>7025298</v>
      </c>
      <c r="B3924" t="s">
        <v>14232</v>
      </c>
      <c r="C3924" t="str">
        <f>"9783031093562"</f>
        <v>9783031093562</v>
      </c>
      <c r="D3924" t="str">
        <f>"9783031093579"</f>
        <v>9783031093579</v>
      </c>
      <c r="E3924" t="s">
        <v>2905</v>
      </c>
      <c r="F3924" s="1">
        <v>44773</v>
      </c>
      <c r="G3924" t="s">
        <v>14233</v>
      </c>
      <c r="H3924" t="s">
        <v>712</v>
      </c>
      <c r="I3924" t="s">
        <v>5272</v>
      </c>
      <c r="L3924" t="s">
        <v>20</v>
      </c>
      <c r="M3924" t="s">
        <v>14234</v>
      </c>
    </row>
    <row r="3925" spans="1:13" x14ac:dyDescent="0.25">
      <c r="A3925">
        <v>7026315</v>
      </c>
      <c r="B3925" t="s">
        <v>14235</v>
      </c>
      <c r="C3925" t="str">
        <f>"9780472108060"</f>
        <v>9780472108060</v>
      </c>
      <c r="D3925" t="str">
        <f>"9780472903122"</f>
        <v>9780472903122</v>
      </c>
      <c r="E3925" t="s">
        <v>6708</v>
      </c>
      <c r="F3925" s="1">
        <v>35702</v>
      </c>
      <c r="G3925" t="s">
        <v>14236</v>
      </c>
      <c r="H3925" t="s">
        <v>232</v>
      </c>
      <c r="I3925" t="s">
        <v>14237</v>
      </c>
      <c r="J3925">
        <v>909.82</v>
      </c>
      <c r="L3925" t="s">
        <v>20</v>
      </c>
      <c r="M3925" t="s">
        <v>14238</v>
      </c>
    </row>
    <row r="3926" spans="1:13" x14ac:dyDescent="0.25">
      <c r="A3926">
        <v>7026750</v>
      </c>
      <c r="B3926" t="s">
        <v>14239</v>
      </c>
      <c r="C3926" t="str">
        <f>"9783031104183"</f>
        <v>9783031104183</v>
      </c>
      <c r="D3926" t="str">
        <f>"9783031104190"</f>
        <v>9783031104190</v>
      </c>
      <c r="E3926" t="s">
        <v>2905</v>
      </c>
      <c r="F3926" s="1">
        <v>44743</v>
      </c>
      <c r="G3926" t="s">
        <v>14240</v>
      </c>
      <c r="H3926" t="s">
        <v>14241</v>
      </c>
      <c r="I3926" t="s">
        <v>4565</v>
      </c>
      <c r="J3926">
        <v>4.1100000000000003</v>
      </c>
      <c r="L3926" t="s">
        <v>20</v>
      </c>
      <c r="M3926" t="s">
        <v>14242</v>
      </c>
    </row>
    <row r="3927" spans="1:13" x14ac:dyDescent="0.25">
      <c r="A3927">
        <v>7026759</v>
      </c>
      <c r="B3927" t="s">
        <v>14243</v>
      </c>
      <c r="C3927" t="str">
        <f>"9783031019791"</f>
        <v>9783031019791</v>
      </c>
      <c r="D3927" t="str">
        <f>"9783031019807"</f>
        <v>9783031019807</v>
      </c>
      <c r="E3927" t="s">
        <v>2905</v>
      </c>
      <c r="F3927" s="1">
        <v>44778</v>
      </c>
      <c r="G3927" t="s">
        <v>14244</v>
      </c>
      <c r="H3927" t="s">
        <v>2603</v>
      </c>
      <c r="I3927" t="s">
        <v>4573</v>
      </c>
      <c r="L3927" t="s">
        <v>20</v>
      </c>
      <c r="M3927" t="s">
        <v>14245</v>
      </c>
    </row>
    <row r="3928" spans="1:13" x14ac:dyDescent="0.25">
      <c r="A3928">
        <v>7026771</v>
      </c>
      <c r="B3928" t="s">
        <v>14246</v>
      </c>
      <c r="C3928" t="str">
        <f>"9783658379193"</f>
        <v>9783658379193</v>
      </c>
      <c r="D3928" t="str">
        <f>"9783658379209"</f>
        <v>9783658379209</v>
      </c>
      <c r="E3928" t="s">
        <v>4472</v>
      </c>
      <c r="F3928" s="1">
        <v>44786</v>
      </c>
      <c r="G3928" t="s">
        <v>14247</v>
      </c>
      <c r="H3928" t="s">
        <v>1753</v>
      </c>
      <c r="I3928" t="s">
        <v>4474</v>
      </c>
      <c r="L3928" t="s">
        <v>291</v>
      </c>
      <c r="M3928" t="s">
        <v>14248</v>
      </c>
    </row>
    <row r="3929" spans="1:13" x14ac:dyDescent="0.25">
      <c r="A3929">
        <v>7026779</v>
      </c>
      <c r="B3929" t="s">
        <v>14249</v>
      </c>
      <c r="C3929" t="str">
        <f>"9783031046698"</f>
        <v>9783031046698</v>
      </c>
      <c r="D3929" t="str">
        <f>"9783031046704"</f>
        <v>9783031046704</v>
      </c>
      <c r="E3929" t="s">
        <v>2905</v>
      </c>
      <c r="F3929" s="1">
        <v>44779</v>
      </c>
      <c r="G3929" t="s">
        <v>14250</v>
      </c>
      <c r="H3929" t="s">
        <v>3829</v>
      </c>
      <c r="I3929" t="s">
        <v>11481</v>
      </c>
      <c r="L3929" t="s">
        <v>20</v>
      </c>
      <c r="M3929" t="s">
        <v>14251</v>
      </c>
    </row>
    <row r="3930" spans="1:13" x14ac:dyDescent="0.25">
      <c r="A3930">
        <v>7027158</v>
      </c>
      <c r="B3930" t="s">
        <v>14252</v>
      </c>
      <c r="C3930" t="str">
        <f>"9783031018336"</f>
        <v>9783031018336</v>
      </c>
      <c r="D3930" t="str">
        <f>"9783031019197"</f>
        <v>9783031019197</v>
      </c>
      <c r="E3930" t="s">
        <v>2905</v>
      </c>
      <c r="F3930" s="1">
        <v>44788</v>
      </c>
      <c r="G3930" t="s">
        <v>14253</v>
      </c>
      <c r="H3930" t="s">
        <v>4180</v>
      </c>
      <c r="I3930" t="s">
        <v>4936</v>
      </c>
      <c r="L3930" t="s">
        <v>20</v>
      </c>
      <c r="M3930" t="s">
        <v>14254</v>
      </c>
    </row>
    <row r="3931" spans="1:13" x14ac:dyDescent="0.25">
      <c r="A3931">
        <v>7027159</v>
      </c>
      <c r="B3931" t="s">
        <v>14255</v>
      </c>
      <c r="C3931" t="str">
        <f>"9783031043321"</f>
        <v>9783031043321</v>
      </c>
      <c r="D3931" t="str">
        <f>"9783031043338"</f>
        <v>9783031043338</v>
      </c>
      <c r="E3931" t="s">
        <v>2905</v>
      </c>
      <c r="F3931" s="1">
        <v>44779</v>
      </c>
      <c r="G3931" t="s">
        <v>14256</v>
      </c>
      <c r="H3931" t="s">
        <v>16</v>
      </c>
      <c r="I3931" t="s">
        <v>4786</v>
      </c>
      <c r="L3931" t="s">
        <v>20</v>
      </c>
      <c r="M3931" t="s">
        <v>14257</v>
      </c>
    </row>
    <row r="3932" spans="1:13" x14ac:dyDescent="0.25">
      <c r="A3932">
        <v>7027172</v>
      </c>
      <c r="B3932" t="s">
        <v>14258</v>
      </c>
      <c r="C3932" t="str">
        <f>"9783031041655"</f>
        <v>9783031041655</v>
      </c>
      <c r="D3932" t="str">
        <f>"9783031041662"</f>
        <v>9783031041662</v>
      </c>
      <c r="E3932" t="s">
        <v>2905</v>
      </c>
      <c r="F3932" s="1">
        <v>44779</v>
      </c>
      <c r="G3932" t="s">
        <v>14259</v>
      </c>
      <c r="H3932" t="s">
        <v>266</v>
      </c>
      <c r="I3932" t="s">
        <v>11232</v>
      </c>
      <c r="L3932" t="s">
        <v>20</v>
      </c>
      <c r="M3932" t="s">
        <v>14260</v>
      </c>
    </row>
    <row r="3933" spans="1:13" x14ac:dyDescent="0.25">
      <c r="A3933">
        <v>7028985</v>
      </c>
      <c r="B3933" t="s">
        <v>14261</v>
      </c>
      <c r="C3933" t="str">
        <f>"9783031079009"</f>
        <v>9783031079009</v>
      </c>
      <c r="D3933" t="str">
        <f>"9783031079016"</f>
        <v>9783031079016</v>
      </c>
      <c r="E3933" t="s">
        <v>2905</v>
      </c>
      <c r="F3933" s="1">
        <v>44785</v>
      </c>
      <c r="G3933" t="s">
        <v>14262</v>
      </c>
      <c r="H3933" t="s">
        <v>1753</v>
      </c>
      <c r="I3933" t="s">
        <v>4753</v>
      </c>
      <c r="L3933" t="s">
        <v>20</v>
      </c>
      <c r="M3933" t="s">
        <v>14263</v>
      </c>
    </row>
    <row r="3934" spans="1:13" x14ac:dyDescent="0.25">
      <c r="A3934">
        <v>7028991</v>
      </c>
      <c r="B3934" t="s">
        <v>14264</v>
      </c>
      <c r="C3934" t="str">
        <f>"9783658377168"</f>
        <v>9783658377168</v>
      </c>
      <c r="D3934" t="str">
        <f>"9783658377175"</f>
        <v>9783658377175</v>
      </c>
      <c r="E3934" t="s">
        <v>4472</v>
      </c>
      <c r="F3934" s="1">
        <v>44771</v>
      </c>
      <c r="G3934" t="s">
        <v>14265</v>
      </c>
      <c r="H3934" t="s">
        <v>64</v>
      </c>
      <c r="I3934" t="s">
        <v>4661</v>
      </c>
      <c r="L3934" t="s">
        <v>291</v>
      </c>
      <c r="M3934" t="s">
        <v>14266</v>
      </c>
    </row>
    <row r="3935" spans="1:13" x14ac:dyDescent="0.25">
      <c r="A3935">
        <v>7028997</v>
      </c>
      <c r="B3935" t="s">
        <v>14267</v>
      </c>
      <c r="C3935" t="str">
        <f>"9789811936388"</f>
        <v>9789811936388</v>
      </c>
      <c r="D3935" t="str">
        <f>"9789811936395"</f>
        <v>9789811936395</v>
      </c>
      <c r="E3935" t="s">
        <v>2906</v>
      </c>
      <c r="F3935" s="1">
        <v>44780</v>
      </c>
      <c r="G3935" t="s">
        <v>14268</v>
      </c>
      <c r="H3935" t="s">
        <v>1178</v>
      </c>
      <c r="I3935" t="s">
        <v>5490</v>
      </c>
      <c r="L3935" t="s">
        <v>20</v>
      </c>
      <c r="M3935" t="s">
        <v>14269</v>
      </c>
    </row>
    <row r="3936" spans="1:13" x14ac:dyDescent="0.25">
      <c r="A3936">
        <v>7029027</v>
      </c>
      <c r="B3936" t="s">
        <v>14270</v>
      </c>
      <c r="C3936" t="str">
        <f>"9783658371401"</f>
        <v>9783658371401</v>
      </c>
      <c r="D3936" t="str">
        <f>"9783658371418"</f>
        <v>9783658371418</v>
      </c>
      <c r="E3936" t="s">
        <v>4472</v>
      </c>
      <c r="F3936" s="1">
        <v>44781</v>
      </c>
      <c r="G3936" t="s">
        <v>14271</v>
      </c>
      <c r="H3936" t="s">
        <v>30</v>
      </c>
      <c r="I3936" t="s">
        <v>8323</v>
      </c>
      <c r="L3936" t="s">
        <v>291</v>
      </c>
      <c r="M3936" t="s">
        <v>14272</v>
      </c>
    </row>
    <row r="3937" spans="1:13" x14ac:dyDescent="0.25">
      <c r="A3937">
        <v>7029182</v>
      </c>
      <c r="B3937" t="s">
        <v>14273</v>
      </c>
      <c r="C3937" t="str">
        <f>"9783662652039"</f>
        <v>9783662652039</v>
      </c>
      <c r="D3937" t="str">
        <f>"9783662652046"</f>
        <v>9783662652046</v>
      </c>
      <c r="E3937" t="s">
        <v>4540</v>
      </c>
      <c r="F3937" s="1">
        <v>44747</v>
      </c>
      <c r="G3937" t="s">
        <v>4559</v>
      </c>
      <c r="H3937" t="s">
        <v>1624</v>
      </c>
      <c r="I3937" t="s">
        <v>4560</v>
      </c>
      <c r="L3937" t="s">
        <v>291</v>
      </c>
      <c r="M3937" t="s">
        <v>14274</v>
      </c>
    </row>
    <row r="3938" spans="1:13" x14ac:dyDescent="0.25">
      <c r="A3938">
        <v>7030719</v>
      </c>
      <c r="B3938" t="s">
        <v>14275</v>
      </c>
      <c r="C3938" t="str">
        <f>"9783031037986"</f>
        <v>9783031037986</v>
      </c>
      <c r="D3938" t="str">
        <f>"9783031037993"</f>
        <v>9783031037993</v>
      </c>
      <c r="E3938" t="s">
        <v>2905</v>
      </c>
      <c r="F3938" s="1">
        <v>44747</v>
      </c>
      <c r="G3938" t="s">
        <v>14276</v>
      </c>
      <c r="H3938" t="s">
        <v>1753</v>
      </c>
      <c r="I3938" t="s">
        <v>7358</v>
      </c>
      <c r="L3938" t="s">
        <v>20</v>
      </c>
      <c r="M3938" t="s">
        <v>14277</v>
      </c>
    </row>
    <row r="3939" spans="1:13" x14ac:dyDescent="0.25">
      <c r="A3939">
        <v>7030726</v>
      </c>
      <c r="B3939" t="s">
        <v>14278</v>
      </c>
      <c r="C3939" t="str">
        <f>"9783030992385"</f>
        <v>9783030992385</v>
      </c>
      <c r="D3939" t="str">
        <f>"9783030973223"</f>
        <v>9783030973223</v>
      </c>
      <c r="E3939" t="s">
        <v>2905</v>
      </c>
      <c r="F3939" s="1">
        <v>44784</v>
      </c>
      <c r="G3939" t="s">
        <v>14279</v>
      </c>
      <c r="H3939" t="s">
        <v>30</v>
      </c>
      <c r="I3939" t="s">
        <v>4676</v>
      </c>
      <c r="L3939" t="s">
        <v>20</v>
      </c>
      <c r="M3939" t="s">
        <v>14280</v>
      </c>
    </row>
    <row r="3940" spans="1:13" x14ac:dyDescent="0.25">
      <c r="A3940">
        <v>7032685</v>
      </c>
      <c r="B3940" t="s">
        <v>14281</v>
      </c>
      <c r="C3940" t="str">
        <f>"9780813597270"</f>
        <v>9780813597270</v>
      </c>
      <c r="D3940" t="str">
        <f>"9780813597300"</f>
        <v>9780813597300</v>
      </c>
      <c r="E3940" t="s">
        <v>264</v>
      </c>
      <c r="F3940" s="1">
        <v>44742</v>
      </c>
      <c r="G3940" t="s">
        <v>14282</v>
      </c>
      <c r="H3940" t="s">
        <v>925</v>
      </c>
      <c r="I3940" t="s">
        <v>4313</v>
      </c>
      <c r="J3940">
        <v>179.76</v>
      </c>
      <c r="L3940" t="s">
        <v>20</v>
      </c>
      <c r="M3940" t="s">
        <v>14283</v>
      </c>
    </row>
    <row r="3941" spans="1:13" x14ac:dyDescent="0.25">
      <c r="A3941">
        <v>7032802</v>
      </c>
      <c r="B3941" t="s">
        <v>14284</v>
      </c>
      <c r="C3941" t="str">
        <f>"9783030949259"</f>
        <v>9783030949259</v>
      </c>
      <c r="D3941" t="str">
        <f>"9783030949266"</f>
        <v>9783030949266</v>
      </c>
      <c r="E3941" t="s">
        <v>2905</v>
      </c>
      <c r="F3941" s="1">
        <v>44780</v>
      </c>
      <c r="G3941" t="s">
        <v>14285</v>
      </c>
      <c r="H3941" t="s">
        <v>16</v>
      </c>
      <c r="I3941" t="s">
        <v>5647</v>
      </c>
      <c r="L3941" t="s">
        <v>20</v>
      </c>
      <c r="M3941" t="s">
        <v>14286</v>
      </c>
    </row>
    <row r="3942" spans="1:13" x14ac:dyDescent="0.25">
      <c r="A3942">
        <v>7041536</v>
      </c>
      <c r="B3942" t="s">
        <v>14287</v>
      </c>
      <c r="C3942" t="str">
        <f>""</f>
        <v/>
      </c>
      <c r="D3942" t="str">
        <f>"9783110765090"</f>
        <v>9783110765090</v>
      </c>
      <c r="E3942" t="s">
        <v>350</v>
      </c>
      <c r="F3942" s="1">
        <v>44760</v>
      </c>
      <c r="G3942" t="s">
        <v>14288</v>
      </c>
      <c r="H3942" t="s">
        <v>4309</v>
      </c>
      <c r="L3942" t="s">
        <v>4340</v>
      </c>
      <c r="M3942" t="s">
        <v>14289</v>
      </c>
    </row>
    <row r="3943" spans="1:13" x14ac:dyDescent="0.25">
      <c r="A3943">
        <v>7041537</v>
      </c>
      <c r="B3943" t="s">
        <v>14290</v>
      </c>
      <c r="C3943" t="str">
        <f>""</f>
        <v/>
      </c>
      <c r="D3943" t="str">
        <f>"9783110769975"</f>
        <v>9783110769975</v>
      </c>
      <c r="E3943" t="s">
        <v>350</v>
      </c>
      <c r="F3943" s="1">
        <v>44733</v>
      </c>
      <c r="G3943" t="s">
        <v>14291</v>
      </c>
      <c r="H3943" t="s">
        <v>2047</v>
      </c>
      <c r="L3943" t="s">
        <v>291</v>
      </c>
      <c r="M3943" t="s">
        <v>14292</v>
      </c>
    </row>
    <row r="3944" spans="1:13" x14ac:dyDescent="0.25">
      <c r="A3944">
        <v>7041538</v>
      </c>
      <c r="B3944" t="s">
        <v>14293</v>
      </c>
      <c r="C3944" t="str">
        <f>""</f>
        <v/>
      </c>
      <c r="D3944" t="str">
        <f>"9783110770193"</f>
        <v>9783110770193</v>
      </c>
      <c r="E3944" t="s">
        <v>350</v>
      </c>
      <c r="F3944" s="1">
        <v>44733</v>
      </c>
      <c r="G3944" t="s">
        <v>14294</v>
      </c>
      <c r="H3944" t="s">
        <v>14295</v>
      </c>
      <c r="L3944" t="s">
        <v>291</v>
      </c>
      <c r="M3944" t="s">
        <v>14296</v>
      </c>
    </row>
    <row r="3945" spans="1:13" x14ac:dyDescent="0.25">
      <c r="A3945">
        <v>7041539</v>
      </c>
      <c r="B3945" t="s">
        <v>14297</v>
      </c>
      <c r="C3945" t="str">
        <f>""</f>
        <v/>
      </c>
      <c r="D3945" t="str">
        <f>"9783110784756"</f>
        <v>9783110784756</v>
      </c>
      <c r="E3945" t="s">
        <v>350</v>
      </c>
      <c r="F3945" s="1">
        <v>44774</v>
      </c>
      <c r="G3945" t="s">
        <v>14298</v>
      </c>
      <c r="H3945" t="s">
        <v>851</v>
      </c>
      <c r="L3945" t="s">
        <v>291</v>
      </c>
      <c r="M3945" t="s">
        <v>14299</v>
      </c>
    </row>
    <row r="3946" spans="1:13" x14ac:dyDescent="0.25">
      <c r="A3946">
        <v>7041541</v>
      </c>
      <c r="B3946" t="s">
        <v>14300</v>
      </c>
      <c r="C3946" t="str">
        <f>""</f>
        <v/>
      </c>
      <c r="D3946" t="str">
        <f>"9783110765526"</f>
        <v>9783110765526</v>
      </c>
      <c r="E3946" t="s">
        <v>350</v>
      </c>
      <c r="F3946" s="1">
        <v>44718</v>
      </c>
      <c r="G3946" t="s">
        <v>14301</v>
      </c>
      <c r="H3946" t="s">
        <v>239</v>
      </c>
      <c r="L3946" t="s">
        <v>291</v>
      </c>
      <c r="M3946" t="s">
        <v>14302</v>
      </c>
    </row>
    <row r="3947" spans="1:13" x14ac:dyDescent="0.25">
      <c r="A3947">
        <v>7041542</v>
      </c>
      <c r="B3947" t="s">
        <v>14303</v>
      </c>
      <c r="C3947" t="str">
        <f>""</f>
        <v/>
      </c>
      <c r="D3947" t="str">
        <f>"9783110746419"</f>
        <v>9783110746419</v>
      </c>
      <c r="E3947" t="s">
        <v>350</v>
      </c>
      <c r="F3947" s="1">
        <v>44774</v>
      </c>
      <c r="G3947" t="s">
        <v>14304</v>
      </c>
      <c r="H3947" t="s">
        <v>817</v>
      </c>
      <c r="J3947">
        <v>615.31370000000004</v>
      </c>
      <c r="L3947" t="s">
        <v>20</v>
      </c>
      <c r="M3947" t="s">
        <v>14305</v>
      </c>
    </row>
    <row r="3948" spans="1:13" x14ac:dyDescent="0.25">
      <c r="A3948">
        <v>7041552</v>
      </c>
      <c r="B3948" t="s">
        <v>14306</v>
      </c>
      <c r="C3948" t="str">
        <f>""</f>
        <v/>
      </c>
      <c r="D3948" t="str">
        <f>"9783110764185"</f>
        <v>9783110764185</v>
      </c>
      <c r="E3948" t="s">
        <v>350</v>
      </c>
      <c r="F3948" s="1">
        <v>44760</v>
      </c>
      <c r="G3948" t="s">
        <v>14307</v>
      </c>
      <c r="H3948" t="s">
        <v>70</v>
      </c>
      <c r="J3948">
        <v>809.39383999999995</v>
      </c>
      <c r="L3948" t="s">
        <v>20</v>
      </c>
      <c r="M3948" t="s">
        <v>14308</v>
      </c>
    </row>
    <row r="3949" spans="1:13" x14ac:dyDescent="0.25">
      <c r="A3949">
        <v>7041554</v>
      </c>
      <c r="B3949" t="s">
        <v>14309</v>
      </c>
      <c r="C3949" t="str">
        <f>""</f>
        <v/>
      </c>
      <c r="D3949" t="str">
        <f>"9783110758900"</f>
        <v>9783110758900</v>
      </c>
      <c r="E3949" t="s">
        <v>350</v>
      </c>
      <c r="F3949" s="1">
        <v>44760</v>
      </c>
      <c r="G3949" t="s">
        <v>14310</v>
      </c>
      <c r="H3949" t="s">
        <v>1657</v>
      </c>
      <c r="L3949" t="s">
        <v>4340</v>
      </c>
      <c r="M3949" t="s">
        <v>14311</v>
      </c>
    </row>
    <row r="3950" spans="1:13" x14ac:dyDescent="0.25">
      <c r="A3950">
        <v>7041585</v>
      </c>
      <c r="B3950" t="s">
        <v>14312</v>
      </c>
      <c r="C3950" t="str">
        <f>""</f>
        <v/>
      </c>
      <c r="D3950" t="str">
        <f>"9783110760804"</f>
        <v>9783110760804</v>
      </c>
      <c r="E3950" t="s">
        <v>350</v>
      </c>
      <c r="F3950" s="1">
        <v>44747</v>
      </c>
      <c r="G3950" t="s">
        <v>14313</v>
      </c>
      <c r="H3950" t="s">
        <v>951</v>
      </c>
      <c r="L3950" t="s">
        <v>291</v>
      </c>
      <c r="M3950" t="s">
        <v>14314</v>
      </c>
    </row>
    <row r="3951" spans="1:13" x14ac:dyDescent="0.25">
      <c r="A3951">
        <v>7041586</v>
      </c>
      <c r="B3951" t="s">
        <v>14315</v>
      </c>
      <c r="C3951" t="str">
        <f>""</f>
        <v/>
      </c>
      <c r="D3951" t="str">
        <f>"9783110764420"</f>
        <v>9783110764420</v>
      </c>
      <c r="E3951" t="s">
        <v>350</v>
      </c>
      <c r="F3951" s="1">
        <v>44718</v>
      </c>
      <c r="G3951" t="s">
        <v>14316</v>
      </c>
      <c r="H3951" t="s">
        <v>14317</v>
      </c>
      <c r="L3951" t="s">
        <v>291</v>
      </c>
      <c r="M3951" t="s">
        <v>14318</v>
      </c>
    </row>
    <row r="3952" spans="1:13" x14ac:dyDescent="0.25">
      <c r="A3952">
        <v>7041587</v>
      </c>
      <c r="B3952" t="s">
        <v>14319</v>
      </c>
      <c r="C3952" t="str">
        <f>""</f>
        <v/>
      </c>
      <c r="D3952" t="str">
        <f>"9783110770773"</f>
        <v>9783110770773</v>
      </c>
      <c r="E3952" t="s">
        <v>350</v>
      </c>
      <c r="F3952" s="1">
        <v>44760</v>
      </c>
      <c r="G3952" t="s">
        <v>14320</v>
      </c>
      <c r="H3952" t="s">
        <v>272</v>
      </c>
      <c r="L3952" t="s">
        <v>291</v>
      </c>
      <c r="M3952" t="s">
        <v>14321</v>
      </c>
    </row>
    <row r="3953" spans="1:13" x14ac:dyDescent="0.25">
      <c r="A3953">
        <v>7041855</v>
      </c>
      <c r="B3953" t="s">
        <v>14322</v>
      </c>
      <c r="C3953" t="str">
        <f>"9783030950873"</f>
        <v>9783030950873</v>
      </c>
      <c r="D3953" t="str">
        <f>"9783030950880"</f>
        <v>9783030950880</v>
      </c>
      <c r="E3953" t="s">
        <v>2905</v>
      </c>
      <c r="F3953" s="1">
        <v>44780</v>
      </c>
      <c r="G3953" t="s">
        <v>14323</v>
      </c>
      <c r="H3953" t="s">
        <v>1178</v>
      </c>
      <c r="I3953" t="s">
        <v>14324</v>
      </c>
      <c r="L3953" t="s">
        <v>20</v>
      </c>
      <c r="M3953" t="s">
        <v>14325</v>
      </c>
    </row>
    <row r="3954" spans="1:13" x14ac:dyDescent="0.25">
      <c r="A3954">
        <v>7041883</v>
      </c>
      <c r="B3954" t="s">
        <v>14326</v>
      </c>
      <c r="C3954" t="str">
        <f>"9783030991371"</f>
        <v>9783030991371</v>
      </c>
      <c r="D3954" t="str">
        <f>"9783030991388"</f>
        <v>9783030991388</v>
      </c>
      <c r="E3954" t="s">
        <v>2905</v>
      </c>
      <c r="F3954" s="1">
        <v>44780</v>
      </c>
      <c r="G3954" t="s">
        <v>14327</v>
      </c>
      <c r="H3954" t="s">
        <v>3480</v>
      </c>
      <c r="I3954" t="s">
        <v>11867</v>
      </c>
      <c r="L3954" t="s">
        <v>20</v>
      </c>
      <c r="M3954" t="s">
        <v>14328</v>
      </c>
    </row>
    <row r="3955" spans="1:13" x14ac:dyDescent="0.25">
      <c r="A3955">
        <v>7041898</v>
      </c>
      <c r="B3955" t="s">
        <v>14329</v>
      </c>
      <c r="C3955" t="str">
        <f>"9783031019869"</f>
        <v>9783031019869</v>
      </c>
      <c r="D3955" t="str">
        <f>"9783031019876"</f>
        <v>9783031019876</v>
      </c>
      <c r="E3955" t="s">
        <v>2905</v>
      </c>
      <c r="F3955" s="1">
        <v>44789</v>
      </c>
      <c r="G3955" t="s">
        <v>14330</v>
      </c>
      <c r="H3955" t="s">
        <v>14331</v>
      </c>
      <c r="I3955" t="s">
        <v>4482</v>
      </c>
      <c r="J3955">
        <v>174.2</v>
      </c>
      <c r="L3955" t="s">
        <v>20</v>
      </c>
      <c r="M3955" t="s">
        <v>14332</v>
      </c>
    </row>
    <row r="3956" spans="1:13" x14ac:dyDescent="0.25">
      <c r="A3956">
        <v>7042208</v>
      </c>
      <c r="B3956" t="s">
        <v>14333</v>
      </c>
      <c r="C3956" t="str">
        <f>"9783031054525"</f>
        <v>9783031054525</v>
      </c>
      <c r="D3956" t="str">
        <f>"9783031054532"</f>
        <v>9783031054532</v>
      </c>
      <c r="E3956" t="s">
        <v>2905</v>
      </c>
      <c r="F3956" s="1">
        <v>44787</v>
      </c>
      <c r="G3956" t="s">
        <v>14334</v>
      </c>
      <c r="H3956" t="s">
        <v>64</v>
      </c>
      <c r="I3956" t="s">
        <v>4653</v>
      </c>
      <c r="L3956" t="s">
        <v>20</v>
      </c>
      <c r="M3956" t="s">
        <v>14335</v>
      </c>
    </row>
    <row r="3957" spans="1:13" x14ac:dyDescent="0.25">
      <c r="A3957">
        <v>7042233</v>
      </c>
      <c r="B3957" t="s">
        <v>14336</v>
      </c>
      <c r="C3957" t="str">
        <f>"9783030940119"</f>
        <v>9783030940119</v>
      </c>
      <c r="D3957" t="str">
        <f>"9783030940126"</f>
        <v>9783030940126</v>
      </c>
      <c r="E3957" t="s">
        <v>2905</v>
      </c>
      <c r="F3957" s="1">
        <v>44751</v>
      </c>
      <c r="G3957" t="s">
        <v>14337</v>
      </c>
      <c r="H3957" t="s">
        <v>30</v>
      </c>
      <c r="I3957" t="s">
        <v>4251</v>
      </c>
      <c r="J3957">
        <v>328.4</v>
      </c>
      <c r="L3957" t="s">
        <v>20</v>
      </c>
      <c r="M3957" t="s">
        <v>14338</v>
      </c>
    </row>
    <row r="3958" spans="1:13" x14ac:dyDescent="0.25">
      <c r="A3958">
        <v>7042562</v>
      </c>
      <c r="B3958" t="s">
        <v>14339</v>
      </c>
      <c r="C3958" t="str">
        <f>"9783031071263"</f>
        <v>9783031071263</v>
      </c>
      <c r="D3958" t="str">
        <f>"9783031071270"</f>
        <v>9783031071270</v>
      </c>
      <c r="E3958" t="s">
        <v>2905</v>
      </c>
      <c r="F3958" s="1">
        <v>44812</v>
      </c>
      <c r="G3958" t="s">
        <v>14340</v>
      </c>
      <c r="H3958" t="s">
        <v>83</v>
      </c>
      <c r="I3958" t="s">
        <v>4537</v>
      </c>
      <c r="L3958" t="s">
        <v>20</v>
      </c>
      <c r="M3958" t="s">
        <v>14341</v>
      </c>
    </row>
    <row r="3959" spans="1:13" x14ac:dyDescent="0.25">
      <c r="A3959">
        <v>7042563</v>
      </c>
      <c r="B3959" t="s">
        <v>14342</v>
      </c>
      <c r="C3959" t="str">
        <f>"9783031013188"</f>
        <v>9783031013188</v>
      </c>
      <c r="D3959" t="str">
        <f>"9783031013195"</f>
        <v>9783031013195</v>
      </c>
      <c r="E3959" t="s">
        <v>2905</v>
      </c>
      <c r="F3959" s="1">
        <v>44787</v>
      </c>
      <c r="G3959" t="s">
        <v>14343</v>
      </c>
      <c r="H3959" t="s">
        <v>30</v>
      </c>
      <c r="I3959" t="s">
        <v>4676</v>
      </c>
      <c r="L3959" t="s">
        <v>20</v>
      </c>
      <c r="M3959" t="s">
        <v>14344</v>
      </c>
    </row>
    <row r="3960" spans="1:13" x14ac:dyDescent="0.25">
      <c r="A3960">
        <v>7042565</v>
      </c>
      <c r="B3960" t="s">
        <v>5955</v>
      </c>
      <c r="C3960" t="str">
        <f>"9783658375706"</f>
        <v>9783658375706</v>
      </c>
      <c r="D3960" t="str">
        <f>"9783658375713"</f>
        <v>9783658375713</v>
      </c>
      <c r="E3960" t="s">
        <v>4472</v>
      </c>
      <c r="F3960" s="1">
        <v>44785</v>
      </c>
      <c r="G3960" t="s">
        <v>14345</v>
      </c>
      <c r="H3960" t="s">
        <v>1753</v>
      </c>
      <c r="I3960" t="s">
        <v>14346</v>
      </c>
      <c r="L3960" t="s">
        <v>291</v>
      </c>
      <c r="M3960" t="s">
        <v>14347</v>
      </c>
    </row>
    <row r="3961" spans="1:13" x14ac:dyDescent="0.25">
      <c r="A3961">
        <v>7043291</v>
      </c>
      <c r="B3961" t="s">
        <v>14348</v>
      </c>
      <c r="C3961" t="str">
        <f>"9789811921223"</f>
        <v>9789811921223</v>
      </c>
      <c r="D3961" t="str">
        <f>"9789811921230"</f>
        <v>9789811921230</v>
      </c>
      <c r="E3961" t="s">
        <v>3313</v>
      </c>
      <c r="F3961" s="1">
        <v>44791</v>
      </c>
      <c r="G3961" t="s">
        <v>14349</v>
      </c>
      <c r="H3961" t="s">
        <v>30</v>
      </c>
      <c r="I3961" t="s">
        <v>14350</v>
      </c>
      <c r="L3961" t="s">
        <v>20</v>
      </c>
      <c r="M3961" t="s">
        <v>14351</v>
      </c>
    </row>
    <row r="3962" spans="1:13" x14ac:dyDescent="0.25">
      <c r="A3962">
        <v>7043319</v>
      </c>
      <c r="B3962" t="s">
        <v>14352</v>
      </c>
      <c r="C3962" t="str">
        <f>"9789811924552"</f>
        <v>9789811924552</v>
      </c>
      <c r="D3962" t="str">
        <f>"9789811924569"</f>
        <v>9789811924569</v>
      </c>
      <c r="E3962" t="s">
        <v>2906</v>
      </c>
      <c r="F3962" s="1">
        <v>44755</v>
      </c>
      <c r="G3962" t="s">
        <v>14353</v>
      </c>
      <c r="H3962" t="s">
        <v>5453</v>
      </c>
      <c r="I3962" t="s">
        <v>5454</v>
      </c>
      <c r="L3962" t="s">
        <v>20</v>
      </c>
      <c r="M3962" t="s">
        <v>14354</v>
      </c>
    </row>
    <row r="3963" spans="1:13" x14ac:dyDescent="0.25">
      <c r="A3963">
        <v>7045442</v>
      </c>
      <c r="B3963" t="s">
        <v>14355</v>
      </c>
      <c r="C3963" t="str">
        <f>"9780472071371"</f>
        <v>9780472071371</v>
      </c>
      <c r="D3963" t="str">
        <f>"9780472900312"</f>
        <v>9780472900312</v>
      </c>
      <c r="E3963" t="s">
        <v>6708</v>
      </c>
      <c r="F3963" s="1">
        <v>40553</v>
      </c>
      <c r="G3963" t="s">
        <v>14356</v>
      </c>
      <c r="H3963" t="s">
        <v>14357</v>
      </c>
      <c r="I3963" t="s">
        <v>7087</v>
      </c>
      <c r="J3963" t="s">
        <v>14358</v>
      </c>
      <c r="L3963" t="s">
        <v>20</v>
      </c>
      <c r="M3963" t="s">
        <v>14359</v>
      </c>
    </row>
    <row r="3964" spans="1:13" x14ac:dyDescent="0.25">
      <c r="A3964">
        <v>7045443</v>
      </c>
      <c r="B3964" t="s">
        <v>14360</v>
      </c>
      <c r="C3964" t="str">
        <f>"9780472071197"</f>
        <v>9780472071197</v>
      </c>
      <c r="D3964" t="str">
        <f>"9780472900343"</f>
        <v>9780472900343</v>
      </c>
      <c r="E3964" t="s">
        <v>6708</v>
      </c>
      <c r="F3964" s="1">
        <v>40542</v>
      </c>
      <c r="G3964" t="s">
        <v>14361</v>
      </c>
      <c r="H3964" t="s">
        <v>70</v>
      </c>
      <c r="I3964" t="s">
        <v>14362</v>
      </c>
      <c r="L3964" t="s">
        <v>20</v>
      </c>
      <c r="M3964" t="s">
        <v>14363</v>
      </c>
    </row>
    <row r="3965" spans="1:13" x14ac:dyDescent="0.25">
      <c r="A3965">
        <v>7045466</v>
      </c>
      <c r="B3965" t="s">
        <v>14364</v>
      </c>
      <c r="C3965" t="str">
        <f>"9783031049606"</f>
        <v>9783031049606</v>
      </c>
      <c r="D3965" t="str">
        <f>"9783031049613"</f>
        <v>9783031049613</v>
      </c>
      <c r="E3965" t="s">
        <v>2905</v>
      </c>
      <c r="F3965" s="1">
        <v>44793</v>
      </c>
      <c r="G3965" t="s">
        <v>14365</v>
      </c>
      <c r="H3965" t="s">
        <v>712</v>
      </c>
      <c r="I3965" t="s">
        <v>4774</v>
      </c>
      <c r="L3965" t="s">
        <v>20</v>
      </c>
      <c r="M3965" t="s">
        <v>14366</v>
      </c>
    </row>
    <row r="3966" spans="1:13" x14ac:dyDescent="0.25">
      <c r="A3966">
        <v>7045473</v>
      </c>
      <c r="B3966" t="s">
        <v>14367</v>
      </c>
      <c r="C3966" t="str">
        <f>"9783030995454"</f>
        <v>9783030995454</v>
      </c>
      <c r="D3966" t="str">
        <f>"9783030995461"</f>
        <v>9783030995461</v>
      </c>
      <c r="E3966" t="s">
        <v>2905</v>
      </c>
      <c r="F3966" s="1">
        <v>44799</v>
      </c>
      <c r="G3966" t="s">
        <v>14368</v>
      </c>
      <c r="H3966" t="s">
        <v>5236</v>
      </c>
      <c r="I3966" t="s">
        <v>5237</v>
      </c>
      <c r="L3966" t="s">
        <v>20</v>
      </c>
      <c r="M3966" t="s">
        <v>14369</v>
      </c>
    </row>
    <row r="3967" spans="1:13" x14ac:dyDescent="0.25">
      <c r="A3967">
        <v>7045746</v>
      </c>
      <c r="B3967" t="s">
        <v>14370</v>
      </c>
      <c r="C3967" t="str">
        <f>"9783031019296"</f>
        <v>9783031019296</v>
      </c>
      <c r="D3967" t="str">
        <f>"9783031019302"</f>
        <v>9783031019302</v>
      </c>
      <c r="E3967" t="s">
        <v>2905</v>
      </c>
      <c r="F3967" s="1">
        <v>44758</v>
      </c>
      <c r="G3967" t="s">
        <v>14371</v>
      </c>
      <c r="H3967" t="s">
        <v>14372</v>
      </c>
      <c r="I3967" t="s">
        <v>7441</v>
      </c>
      <c r="J3967">
        <v>170.92</v>
      </c>
      <c r="L3967" t="s">
        <v>20</v>
      </c>
      <c r="M3967" t="s">
        <v>14373</v>
      </c>
    </row>
    <row r="3968" spans="1:13" x14ac:dyDescent="0.25">
      <c r="A3968">
        <v>7045755</v>
      </c>
      <c r="B3968" t="s">
        <v>14374</v>
      </c>
      <c r="C3968" t="str">
        <f>"9783030994310"</f>
        <v>9783030994310</v>
      </c>
      <c r="D3968" t="str">
        <f>"9783030994327"</f>
        <v>9783030994327</v>
      </c>
      <c r="E3968" t="s">
        <v>2905</v>
      </c>
      <c r="F3968" s="1">
        <v>44758</v>
      </c>
      <c r="G3968" t="s">
        <v>14375</v>
      </c>
      <c r="H3968" t="s">
        <v>4639</v>
      </c>
      <c r="I3968" t="s">
        <v>8873</v>
      </c>
      <c r="J3968">
        <v>333.79</v>
      </c>
      <c r="L3968" t="s">
        <v>20</v>
      </c>
      <c r="M3968" t="s">
        <v>14376</v>
      </c>
    </row>
    <row r="3969" spans="1:13" x14ac:dyDescent="0.25">
      <c r="A3969">
        <v>7045899</v>
      </c>
      <c r="B3969" t="s">
        <v>14377</v>
      </c>
      <c r="C3969" t="str">
        <f>"9781644698235"</f>
        <v>9781644698235</v>
      </c>
      <c r="D3969" t="str">
        <f>"9781644698273"</f>
        <v>9781644698273</v>
      </c>
      <c r="E3969" t="s">
        <v>2224</v>
      </c>
      <c r="F3969" s="1">
        <v>44768</v>
      </c>
      <c r="G3969" t="s">
        <v>14378</v>
      </c>
      <c r="H3969" t="s">
        <v>5314</v>
      </c>
      <c r="J3969">
        <v>681.2</v>
      </c>
      <c r="L3969" t="s">
        <v>20</v>
      </c>
      <c r="M3969" t="s">
        <v>14379</v>
      </c>
    </row>
    <row r="3970" spans="1:13" x14ac:dyDescent="0.25">
      <c r="A3970">
        <v>7045923</v>
      </c>
      <c r="B3970" t="s">
        <v>14380</v>
      </c>
      <c r="C3970" t="str">
        <f>""</f>
        <v/>
      </c>
      <c r="D3970" t="str">
        <f>"9783110731590"</f>
        <v>9783110731590</v>
      </c>
      <c r="E3970" t="s">
        <v>350</v>
      </c>
      <c r="F3970" s="1">
        <v>44795</v>
      </c>
      <c r="G3970" t="s">
        <v>14381</v>
      </c>
      <c r="H3970" t="s">
        <v>30</v>
      </c>
      <c r="J3970">
        <v>320.08999999999997</v>
      </c>
      <c r="L3970" t="s">
        <v>20</v>
      </c>
      <c r="M3970" t="s">
        <v>14382</v>
      </c>
    </row>
    <row r="3971" spans="1:13" x14ac:dyDescent="0.25">
      <c r="A3971">
        <v>7045932</v>
      </c>
      <c r="B3971" t="s">
        <v>14383</v>
      </c>
      <c r="C3971" t="str">
        <f>""</f>
        <v/>
      </c>
      <c r="D3971" t="str">
        <f>"9783110776195"</f>
        <v>9783110776195</v>
      </c>
      <c r="E3971" t="s">
        <v>350</v>
      </c>
      <c r="F3971" s="1">
        <v>44774</v>
      </c>
      <c r="G3971" t="s">
        <v>14384</v>
      </c>
      <c r="H3971" t="s">
        <v>70</v>
      </c>
      <c r="L3971" t="s">
        <v>291</v>
      </c>
      <c r="M3971" t="s">
        <v>14385</v>
      </c>
    </row>
    <row r="3972" spans="1:13" x14ac:dyDescent="0.25">
      <c r="A3972">
        <v>7045937</v>
      </c>
      <c r="B3972" t="s">
        <v>14386</v>
      </c>
      <c r="C3972" t="str">
        <f>""</f>
        <v/>
      </c>
      <c r="D3972" t="str">
        <f>"9783110722819"</f>
        <v>9783110722819</v>
      </c>
      <c r="E3972" t="s">
        <v>350</v>
      </c>
      <c r="F3972" s="1">
        <v>44774</v>
      </c>
      <c r="G3972" t="s">
        <v>14387</v>
      </c>
      <c r="H3972" t="s">
        <v>70</v>
      </c>
      <c r="L3972" t="s">
        <v>291</v>
      </c>
      <c r="M3972" t="s">
        <v>14388</v>
      </c>
    </row>
    <row r="3973" spans="1:13" x14ac:dyDescent="0.25">
      <c r="A3973">
        <v>7045943</v>
      </c>
      <c r="B3973" t="s">
        <v>14389</v>
      </c>
      <c r="C3973" t="str">
        <f>""</f>
        <v/>
      </c>
      <c r="D3973" t="str">
        <f>"9783110729740"</f>
        <v>9783110729740</v>
      </c>
      <c r="E3973" t="s">
        <v>350</v>
      </c>
      <c r="F3973" s="1">
        <v>44795</v>
      </c>
      <c r="G3973" t="s">
        <v>14390</v>
      </c>
      <c r="H3973" t="s">
        <v>30</v>
      </c>
      <c r="J3973">
        <v>320.54000000000002</v>
      </c>
      <c r="L3973" t="s">
        <v>20</v>
      </c>
      <c r="M3973" t="s">
        <v>14391</v>
      </c>
    </row>
    <row r="3974" spans="1:13" x14ac:dyDescent="0.25">
      <c r="A3974">
        <v>7046586</v>
      </c>
      <c r="B3974" t="s">
        <v>14392</v>
      </c>
      <c r="C3974" t="str">
        <f>"9783030962098"</f>
        <v>9783030962098</v>
      </c>
      <c r="D3974" t="str">
        <f>"9783030962104"</f>
        <v>9783030962104</v>
      </c>
      <c r="E3974" t="s">
        <v>2905</v>
      </c>
      <c r="F3974" s="1">
        <v>44761</v>
      </c>
      <c r="G3974" t="s">
        <v>14393</v>
      </c>
      <c r="H3974" t="s">
        <v>1753</v>
      </c>
      <c r="I3974" t="s">
        <v>8254</v>
      </c>
      <c r="J3974">
        <v>658.40830000000005</v>
      </c>
      <c r="L3974" t="s">
        <v>20</v>
      </c>
      <c r="M3974" t="s">
        <v>14394</v>
      </c>
    </row>
    <row r="3975" spans="1:13" x14ac:dyDescent="0.25">
      <c r="A3975">
        <v>7047972</v>
      </c>
      <c r="B3975" t="s">
        <v>14395</v>
      </c>
      <c r="C3975" t="str">
        <f>"9789811931543"</f>
        <v>9789811931543</v>
      </c>
      <c r="D3975" t="str">
        <f>"9789811931550"</f>
        <v>9789811931550</v>
      </c>
      <c r="E3975" t="s">
        <v>3313</v>
      </c>
      <c r="F3975" s="1">
        <v>44764</v>
      </c>
      <c r="G3975" t="s">
        <v>14396</v>
      </c>
      <c r="H3975" t="s">
        <v>41</v>
      </c>
      <c r="I3975" t="s">
        <v>4239</v>
      </c>
      <c r="J3975">
        <v>338.19</v>
      </c>
      <c r="L3975" t="s">
        <v>20</v>
      </c>
      <c r="M3975" t="s">
        <v>14397</v>
      </c>
    </row>
    <row r="3976" spans="1:13" x14ac:dyDescent="0.25">
      <c r="A3976">
        <v>7048999</v>
      </c>
      <c r="B3976" t="s">
        <v>14398</v>
      </c>
      <c r="C3976" t="str">
        <f>""</f>
        <v/>
      </c>
      <c r="D3976" t="str">
        <f>"9783110720921"</f>
        <v>9783110720921</v>
      </c>
      <c r="E3976" t="s">
        <v>350</v>
      </c>
      <c r="F3976" s="1">
        <v>44804</v>
      </c>
      <c r="G3976" t="s">
        <v>14399</v>
      </c>
      <c r="H3976" t="s">
        <v>246</v>
      </c>
      <c r="J3976">
        <v>700.48400000000004</v>
      </c>
      <c r="L3976" t="s">
        <v>20</v>
      </c>
      <c r="M3976" t="s">
        <v>14400</v>
      </c>
    </row>
    <row r="3977" spans="1:13" x14ac:dyDescent="0.25">
      <c r="A3977">
        <v>7049009</v>
      </c>
      <c r="B3977" t="s">
        <v>14401</v>
      </c>
      <c r="C3977" t="str">
        <f>""</f>
        <v/>
      </c>
      <c r="D3977" t="str">
        <f>"9783110784459"</f>
        <v>9783110784459</v>
      </c>
      <c r="E3977" t="s">
        <v>350</v>
      </c>
      <c r="F3977" s="1">
        <v>44774</v>
      </c>
      <c r="G3977" t="s">
        <v>7976</v>
      </c>
      <c r="H3977" t="s">
        <v>139</v>
      </c>
      <c r="J3977">
        <v>942</v>
      </c>
      <c r="L3977" t="s">
        <v>20</v>
      </c>
      <c r="M3977" t="s">
        <v>14402</v>
      </c>
    </row>
    <row r="3978" spans="1:13" x14ac:dyDescent="0.25">
      <c r="A3978">
        <v>7049014</v>
      </c>
      <c r="B3978" t="s">
        <v>14403</v>
      </c>
      <c r="C3978" t="str">
        <f>""</f>
        <v/>
      </c>
      <c r="D3978" t="str">
        <f>"9783110759105"</f>
        <v>9783110759105</v>
      </c>
      <c r="E3978" t="s">
        <v>350</v>
      </c>
      <c r="F3978" s="1">
        <v>44718</v>
      </c>
      <c r="G3978" t="s">
        <v>14404</v>
      </c>
      <c r="H3978" t="s">
        <v>16</v>
      </c>
      <c r="L3978" t="s">
        <v>291</v>
      </c>
      <c r="M3978" t="s">
        <v>14405</v>
      </c>
    </row>
    <row r="3979" spans="1:13" x14ac:dyDescent="0.25">
      <c r="A3979">
        <v>7049442</v>
      </c>
      <c r="B3979" t="s">
        <v>14406</v>
      </c>
      <c r="C3979" t="str">
        <f>"9783658381530"</f>
        <v>9783658381530</v>
      </c>
      <c r="D3979" t="str">
        <f>"9783658381547"</f>
        <v>9783658381547</v>
      </c>
      <c r="E3979" t="s">
        <v>4472</v>
      </c>
      <c r="F3979" s="1">
        <v>44811</v>
      </c>
      <c r="G3979" t="s">
        <v>14407</v>
      </c>
      <c r="H3979" t="s">
        <v>712</v>
      </c>
      <c r="I3979" t="s">
        <v>5272</v>
      </c>
      <c r="L3979" t="s">
        <v>20</v>
      </c>
      <c r="M3979" t="s">
        <v>14408</v>
      </c>
    </row>
    <row r="3980" spans="1:13" x14ac:dyDescent="0.25">
      <c r="A3980">
        <v>7051090</v>
      </c>
      <c r="B3980" t="s">
        <v>14409</v>
      </c>
      <c r="C3980" t="str">
        <f>"9783030996338"</f>
        <v>9783030996338</v>
      </c>
      <c r="D3980" t="str">
        <f>"9783030996345"</f>
        <v>9783030996345</v>
      </c>
      <c r="E3980" t="s">
        <v>2905</v>
      </c>
      <c r="F3980" s="1">
        <v>44799</v>
      </c>
      <c r="G3980" t="s">
        <v>14410</v>
      </c>
      <c r="H3980" t="s">
        <v>363</v>
      </c>
      <c r="I3980" t="s">
        <v>6123</v>
      </c>
      <c r="L3980" t="s">
        <v>20</v>
      </c>
      <c r="M3980" t="s">
        <v>14411</v>
      </c>
    </row>
    <row r="3981" spans="1:13" x14ac:dyDescent="0.25">
      <c r="A3981">
        <v>7052062</v>
      </c>
      <c r="B3981" t="s">
        <v>14412</v>
      </c>
      <c r="C3981" t="str">
        <f>"9783031114311"</f>
        <v>9783031114311</v>
      </c>
      <c r="D3981" t="str">
        <f>"9783031114328"</f>
        <v>9783031114328</v>
      </c>
      <c r="E3981" t="s">
        <v>2905</v>
      </c>
      <c r="F3981" s="1">
        <v>44769</v>
      </c>
      <c r="G3981" t="s">
        <v>14413</v>
      </c>
      <c r="H3981" t="s">
        <v>4180</v>
      </c>
      <c r="I3981" t="s">
        <v>10491</v>
      </c>
      <c r="L3981" t="s">
        <v>20</v>
      </c>
      <c r="M3981" t="s">
        <v>14414</v>
      </c>
    </row>
    <row r="3982" spans="1:13" x14ac:dyDescent="0.25">
      <c r="A3982">
        <v>7052080</v>
      </c>
      <c r="B3982" t="s">
        <v>14415</v>
      </c>
      <c r="C3982" t="str">
        <f>"9783030985981"</f>
        <v>9783030985981</v>
      </c>
      <c r="D3982" t="str">
        <f>"9783030985998"</f>
        <v>9783030985998</v>
      </c>
      <c r="E3982" t="s">
        <v>2905</v>
      </c>
      <c r="F3982" s="1">
        <v>44769</v>
      </c>
      <c r="G3982" t="s">
        <v>14416</v>
      </c>
      <c r="H3982" t="s">
        <v>712</v>
      </c>
      <c r="I3982" t="s">
        <v>4553</v>
      </c>
      <c r="L3982" t="s">
        <v>20</v>
      </c>
      <c r="M3982" t="s">
        <v>14417</v>
      </c>
    </row>
    <row r="3983" spans="1:13" x14ac:dyDescent="0.25">
      <c r="A3983">
        <v>7052827</v>
      </c>
      <c r="B3983" t="s">
        <v>14418</v>
      </c>
      <c r="C3983" t="str">
        <f>""</f>
        <v/>
      </c>
      <c r="D3983" t="str">
        <f>"9782759235483"</f>
        <v>9782759235483</v>
      </c>
      <c r="E3983" t="s">
        <v>2434</v>
      </c>
      <c r="F3983" s="1">
        <v>44742</v>
      </c>
      <c r="G3983" t="s">
        <v>14419</v>
      </c>
      <c r="H3983" t="s">
        <v>4161</v>
      </c>
      <c r="L3983" t="s">
        <v>1279</v>
      </c>
      <c r="M3983" t="s">
        <v>14420</v>
      </c>
    </row>
    <row r="3984" spans="1:13" x14ac:dyDescent="0.25">
      <c r="A3984">
        <v>7052880</v>
      </c>
      <c r="B3984" t="s">
        <v>14421</v>
      </c>
      <c r="C3984" t="str">
        <f>"9789811667183"</f>
        <v>9789811667183</v>
      </c>
      <c r="D3984" t="str">
        <f>"9789811667190"</f>
        <v>9789811667190</v>
      </c>
      <c r="E3984" t="s">
        <v>2906</v>
      </c>
      <c r="F3984" s="1">
        <v>44770</v>
      </c>
      <c r="G3984" t="s">
        <v>14422</v>
      </c>
      <c r="H3984" t="s">
        <v>14423</v>
      </c>
      <c r="I3984" t="s">
        <v>4669</v>
      </c>
      <c r="J3984">
        <v>333.95159999999998</v>
      </c>
      <c r="L3984" t="s">
        <v>20</v>
      </c>
      <c r="M3984" t="s">
        <v>14424</v>
      </c>
    </row>
    <row r="3985" spans="1:13" x14ac:dyDescent="0.25">
      <c r="A3985">
        <v>7052882</v>
      </c>
      <c r="B3985" t="s">
        <v>14425</v>
      </c>
      <c r="C3985" t="str">
        <f>"9783031044618"</f>
        <v>9783031044618</v>
      </c>
      <c r="D3985" t="str">
        <f>"9783031044625"</f>
        <v>9783031044625</v>
      </c>
      <c r="E3985" t="s">
        <v>2905</v>
      </c>
      <c r="F3985" s="1">
        <v>44801</v>
      </c>
      <c r="G3985" t="s">
        <v>14426</v>
      </c>
      <c r="H3985" t="s">
        <v>266</v>
      </c>
      <c r="I3985" t="s">
        <v>11451</v>
      </c>
      <c r="L3985" t="s">
        <v>20</v>
      </c>
      <c r="M3985" t="s">
        <v>14427</v>
      </c>
    </row>
    <row r="3986" spans="1:13" x14ac:dyDescent="0.25">
      <c r="A3986">
        <v>7054365</v>
      </c>
      <c r="B3986" t="s">
        <v>14428</v>
      </c>
      <c r="C3986" t="str">
        <f>""</f>
        <v/>
      </c>
      <c r="D3986" t="str">
        <f>"9782759235766"</f>
        <v>9782759235766</v>
      </c>
      <c r="E3986" t="s">
        <v>2434</v>
      </c>
      <c r="F3986" s="1">
        <v>44742</v>
      </c>
      <c r="G3986" t="s">
        <v>14429</v>
      </c>
      <c r="L3986" t="s">
        <v>20</v>
      </c>
      <c r="M3986" t="s">
        <v>14430</v>
      </c>
    </row>
    <row r="3987" spans="1:13" x14ac:dyDescent="0.25">
      <c r="A3987">
        <v>7054366</v>
      </c>
      <c r="B3987" t="s">
        <v>14431</v>
      </c>
      <c r="C3987" t="str">
        <f>""</f>
        <v/>
      </c>
      <c r="D3987" t="str">
        <f>"9782759235421"</f>
        <v>9782759235421</v>
      </c>
      <c r="E3987" t="s">
        <v>2434</v>
      </c>
      <c r="F3987" s="1">
        <v>44742</v>
      </c>
      <c r="G3987" t="s">
        <v>14432</v>
      </c>
      <c r="H3987" t="s">
        <v>2521</v>
      </c>
      <c r="L3987" t="s">
        <v>1279</v>
      </c>
      <c r="M3987" t="s">
        <v>14433</v>
      </c>
    </row>
    <row r="3988" spans="1:13" x14ac:dyDescent="0.25">
      <c r="A3988">
        <v>7054368</v>
      </c>
      <c r="B3988" t="s">
        <v>14434</v>
      </c>
      <c r="C3988" t="str">
        <f>""</f>
        <v/>
      </c>
      <c r="D3988" t="str">
        <f>"9782759234585"</f>
        <v>9782759234585</v>
      </c>
      <c r="E3988" t="s">
        <v>2434</v>
      </c>
      <c r="F3988" s="1">
        <v>44721</v>
      </c>
      <c r="G3988" t="s">
        <v>14435</v>
      </c>
      <c r="H3988" t="s">
        <v>83</v>
      </c>
      <c r="L3988" t="s">
        <v>1279</v>
      </c>
      <c r="M3988" t="s">
        <v>14436</v>
      </c>
    </row>
    <row r="3989" spans="1:13" x14ac:dyDescent="0.25">
      <c r="A3989">
        <v>7054369</v>
      </c>
      <c r="B3989" t="s">
        <v>14437</v>
      </c>
      <c r="C3989" t="str">
        <f>""</f>
        <v/>
      </c>
      <c r="D3989" t="str">
        <f>"9782759235155"</f>
        <v>9782759235155</v>
      </c>
      <c r="E3989" t="s">
        <v>2434</v>
      </c>
      <c r="F3989" s="1">
        <v>44749</v>
      </c>
      <c r="G3989" t="s">
        <v>14438</v>
      </c>
      <c r="H3989" t="s">
        <v>14439</v>
      </c>
      <c r="L3989" t="s">
        <v>1279</v>
      </c>
      <c r="M3989" t="s">
        <v>14440</v>
      </c>
    </row>
    <row r="3990" spans="1:13" x14ac:dyDescent="0.25">
      <c r="A3990">
        <v>7054378</v>
      </c>
      <c r="B3990" t="s">
        <v>14441</v>
      </c>
      <c r="C3990" t="str">
        <f>""</f>
        <v/>
      </c>
      <c r="D3990" t="str">
        <f>"9782759235124"</f>
        <v>9782759235124</v>
      </c>
      <c r="E3990" t="s">
        <v>2434</v>
      </c>
      <c r="F3990" s="1">
        <v>44742</v>
      </c>
      <c r="G3990" t="s">
        <v>14442</v>
      </c>
      <c r="H3990" t="s">
        <v>1283</v>
      </c>
      <c r="L3990" t="s">
        <v>1279</v>
      </c>
      <c r="M3990" t="s">
        <v>14443</v>
      </c>
    </row>
    <row r="3991" spans="1:13" x14ac:dyDescent="0.25">
      <c r="A3991">
        <v>7054777</v>
      </c>
      <c r="B3991" t="s">
        <v>14444</v>
      </c>
      <c r="C3991" t="str">
        <f>""</f>
        <v/>
      </c>
      <c r="D3991" t="str">
        <f>"9783110765687"</f>
        <v>9783110765687</v>
      </c>
      <c r="E3991" t="s">
        <v>350</v>
      </c>
      <c r="F3991" s="1">
        <v>44834</v>
      </c>
      <c r="G3991" t="s">
        <v>14445</v>
      </c>
      <c r="H3991" t="s">
        <v>246</v>
      </c>
      <c r="J3991">
        <v>792.09498199999996</v>
      </c>
      <c r="L3991" t="s">
        <v>20</v>
      </c>
      <c r="M3991" t="s">
        <v>14446</v>
      </c>
    </row>
    <row r="3992" spans="1:13" x14ac:dyDescent="0.25">
      <c r="A3992">
        <v>7054817</v>
      </c>
      <c r="B3992" t="s">
        <v>14447</v>
      </c>
      <c r="C3992" t="str">
        <f>"9783031041075"</f>
        <v>9783031041075</v>
      </c>
      <c r="D3992" t="str">
        <f>"9783031041082"</f>
        <v>9783031041082</v>
      </c>
      <c r="E3992" t="s">
        <v>2905</v>
      </c>
      <c r="F3992" s="1">
        <v>44815</v>
      </c>
      <c r="G3992" t="s">
        <v>14448</v>
      </c>
      <c r="H3992" t="s">
        <v>363</v>
      </c>
      <c r="I3992" t="s">
        <v>14449</v>
      </c>
      <c r="L3992" t="s">
        <v>20</v>
      </c>
      <c r="M3992" t="s">
        <v>14450</v>
      </c>
    </row>
    <row r="3993" spans="1:13" x14ac:dyDescent="0.25">
      <c r="A3993">
        <v>7055680</v>
      </c>
      <c r="B3993" t="s">
        <v>14451</v>
      </c>
      <c r="C3993" t="str">
        <f>"9783658379278"</f>
        <v>9783658379278</v>
      </c>
      <c r="D3993" t="str">
        <f>"9783658379285"</f>
        <v>9783658379285</v>
      </c>
      <c r="E3993" t="s">
        <v>4472</v>
      </c>
      <c r="F3993" s="1">
        <v>44816</v>
      </c>
      <c r="G3993" t="s">
        <v>14452</v>
      </c>
      <c r="H3993" t="s">
        <v>363</v>
      </c>
      <c r="I3993" t="s">
        <v>8484</v>
      </c>
      <c r="L3993" t="s">
        <v>291</v>
      </c>
      <c r="M3993" t="s">
        <v>14453</v>
      </c>
    </row>
    <row r="3994" spans="1:13" x14ac:dyDescent="0.25">
      <c r="A3994">
        <v>7055683</v>
      </c>
      <c r="B3994" t="s">
        <v>14454</v>
      </c>
      <c r="C3994" t="str">
        <f>"9783658388041"</f>
        <v>9783658388041</v>
      </c>
      <c r="D3994" t="str">
        <f>"9783658388058"</f>
        <v>9783658388058</v>
      </c>
      <c r="E3994" t="s">
        <v>4472</v>
      </c>
      <c r="F3994" s="1">
        <v>44820</v>
      </c>
      <c r="G3994" t="s">
        <v>14455</v>
      </c>
      <c r="H3994" t="s">
        <v>30</v>
      </c>
      <c r="I3994" t="s">
        <v>6285</v>
      </c>
      <c r="L3994" t="s">
        <v>291</v>
      </c>
      <c r="M3994" t="s">
        <v>14456</v>
      </c>
    </row>
    <row r="3995" spans="1:13" x14ac:dyDescent="0.25">
      <c r="A3995">
        <v>7055689</v>
      </c>
      <c r="B3995" t="s">
        <v>14457</v>
      </c>
      <c r="C3995" t="str">
        <f>"9783658384555"</f>
        <v>9783658384555</v>
      </c>
      <c r="D3995" t="str">
        <f>"9783658384562"</f>
        <v>9783658384562</v>
      </c>
      <c r="E3995" t="s">
        <v>4472</v>
      </c>
      <c r="F3995" s="1">
        <v>44816</v>
      </c>
      <c r="G3995" t="s">
        <v>14458</v>
      </c>
      <c r="H3995" t="s">
        <v>30</v>
      </c>
      <c r="I3995" t="s">
        <v>5532</v>
      </c>
      <c r="L3995" t="s">
        <v>291</v>
      </c>
      <c r="M3995" t="s">
        <v>14459</v>
      </c>
    </row>
    <row r="3996" spans="1:13" x14ac:dyDescent="0.25">
      <c r="A3996">
        <v>7055695</v>
      </c>
      <c r="B3996" t="s">
        <v>14460</v>
      </c>
      <c r="C3996" t="str">
        <f>"9783031107689"</f>
        <v>9783031107689</v>
      </c>
      <c r="D3996" t="str">
        <f>"9783031107696"</f>
        <v>9783031107696</v>
      </c>
      <c r="E3996" t="s">
        <v>2905</v>
      </c>
      <c r="F3996" s="1">
        <v>44759</v>
      </c>
      <c r="G3996" t="s">
        <v>14461</v>
      </c>
      <c r="H3996" t="s">
        <v>4277</v>
      </c>
      <c r="I3996" t="s">
        <v>6925</v>
      </c>
      <c r="J3996">
        <v>6.3330000000000002</v>
      </c>
      <c r="L3996" t="s">
        <v>20</v>
      </c>
      <c r="M3996" t="s">
        <v>14462</v>
      </c>
    </row>
    <row r="3997" spans="1:13" x14ac:dyDescent="0.25">
      <c r="A3997">
        <v>7068732</v>
      </c>
      <c r="B3997" t="s">
        <v>14463</v>
      </c>
      <c r="C3997" t="str">
        <f>"9783658349691"</f>
        <v>9783658349691</v>
      </c>
      <c r="D3997" t="str">
        <f>"9783658349707"</f>
        <v>9783658349707</v>
      </c>
      <c r="E3997" t="s">
        <v>4472</v>
      </c>
      <c r="F3997" s="1">
        <v>44775</v>
      </c>
      <c r="G3997" t="s">
        <v>14464</v>
      </c>
      <c r="H3997" t="s">
        <v>1753</v>
      </c>
      <c r="I3997" t="s">
        <v>8307</v>
      </c>
      <c r="L3997" t="s">
        <v>291</v>
      </c>
      <c r="M3997" t="s">
        <v>14465</v>
      </c>
    </row>
    <row r="3998" spans="1:13" x14ac:dyDescent="0.25">
      <c r="A3998">
        <v>7069232</v>
      </c>
      <c r="B3998" t="s">
        <v>14466</v>
      </c>
      <c r="C3998" t="str">
        <f>"9783031104466"</f>
        <v>9783031104466</v>
      </c>
      <c r="D3998" t="str">
        <f>"9783031104473"</f>
        <v>9783031104473</v>
      </c>
      <c r="E3998" t="s">
        <v>2905</v>
      </c>
      <c r="F3998" s="1">
        <v>44776</v>
      </c>
      <c r="G3998" t="s">
        <v>14467</v>
      </c>
      <c r="H3998" t="s">
        <v>1178</v>
      </c>
      <c r="I3998" t="s">
        <v>14468</v>
      </c>
      <c r="L3998" t="s">
        <v>20</v>
      </c>
      <c r="M3998" t="s">
        <v>14469</v>
      </c>
    </row>
    <row r="3999" spans="1:13" x14ac:dyDescent="0.25">
      <c r="A3999">
        <v>7070165</v>
      </c>
      <c r="B3999" t="s">
        <v>14470</v>
      </c>
      <c r="C3999" t="str">
        <f>"9783031131875"</f>
        <v>9783031131875</v>
      </c>
      <c r="D3999" t="str">
        <f>"9783031131882"</f>
        <v>9783031131882</v>
      </c>
      <c r="E3999" t="s">
        <v>2905</v>
      </c>
      <c r="F3999" s="1">
        <v>44822</v>
      </c>
      <c r="G3999" t="s">
        <v>14471</v>
      </c>
      <c r="H3999" t="s">
        <v>712</v>
      </c>
      <c r="I3999" t="s">
        <v>4774</v>
      </c>
      <c r="L3999" t="s">
        <v>20</v>
      </c>
      <c r="M3999" t="s">
        <v>14472</v>
      </c>
    </row>
    <row r="4000" spans="1:13" x14ac:dyDescent="0.25">
      <c r="A4000">
        <v>7070212</v>
      </c>
      <c r="B4000" t="s">
        <v>14473</v>
      </c>
      <c r="C4000" t="str">
        <f>"9783658384364"</f>
        <v>9783658384364</v>
      </c>
      <c r="D4000" t="str">
        <f>"9783658384371"</f>
        <v>9783658384371</v>
      </c>
      <c r="E4000" t="s">
        <v>4472</v>
      </c>
      <c r="F4000" s="1">
        <v>44817</v>
      </c>
      <c r="G4000" t="s">
        <v>14474</v>
      </c>
      <c r="H4000" t="s">
        <v>5623</v>
      </c>
      <c r="I4000" t="s">
        <v>10576</v>
      </c>
      <c r="L4000" t="s">
        <v>291</v>
      </c>
      <c r="M4000" t="s">
        <v>14475</v>
      </c>
    </row>
    <row r="4001" spans="1:13" x14ac:dyDescent="0.25">
      <c r="A4001">
        <v>7070218</v>
      </c>
      <c r="B4001" t="s">
        <v>14476</v>
      </c>
      <c r="C4001" t="str">
        <f>"9783031131844"</f>
        <v>9783031131844</v>
      </c>
      <c r="D4001" t="str">
        <f>"9783031131851"</f>
        <v>9783031131851</v>
      </c>
      <c r="E4001" t="s">
        <v>2905</v>
      </c>
      <c r="F4001" s="1">
        <v>44781</v>
      </c>
      <c r="G4001" t="s">
        <v>14471</v>
      </c>
      <c r="H4001" t="s">
        <v>712</v>
      </c>
      <c r="I4001" t="s">
        <v>4774</v>
      </c>
      <c r="J4001">
        <v>5.14</v>
      </c>
      <c r="L4001" t="s">
        <v>20</v>
      </c>
      <c r="M4001" t="s">
        <v>14477</v>
      </c>
    </row>
    <row r="4002" spans="1:13" x14ac:dyDescent="0.25">
      <c r="A4002">
        <v>7070239</v>
      </c>
      <c r="B4002" t="s">
        <v>14478</v>
      </c>
      <c r="C4002" t="str">
        <f>""</f>
        <v/>
      </c>
      <c r="D4002" t="str">
        <f>"9783110786675"</f>
        <v>9783110786675</v>
      </c>
      <c r="E4002" t="s">
        <v>270</v>
      </c>
      <c r="F4002" s="1">
        <v>44795</v>
      </c>
      <c r="G4002" t="s">
        <v>14479</v>
      </c>
      <c r="H4002" t="s">
        <v>14480</v>
      </c>
      <c r="L4002" t="s">
        <v>291</v>
      </c>
      <c r="M4002" t="s">
        <v>14481</v>
      </c>
    </row>
    <row r="4003" spans="1:13" x14ac:dyDescent="0.25">
      <c r="A4003">
        <v>7070249</v>
      </c>
      <c r="B4003" t="s">
        <v>14482</v>
      </c>
      <c r="C4003" t="str">
        <f>""</f>
        <v/>
      </c>
      <c r="D4003" t="str">
        <f>"9783110643060"</f>
        <v>9783110643060</v>
      </c>
      <c r="E4003" t="s">
        <v>350</v>
      </c>
      <c r="F4003" s="1">
        <v>44810</v>
      </c>
      <c r="G4003" t="s">
        <v>14483</v>
      </c>
      <c r="H4003" t="s">
        <v>16</v>
      </c>
      <c r="J4003">
        <v>170</v>
      </c>
      <c r="L4003" t="s">
        <v>20</v>
      </c>
      <c r="M4003" t="s">
        <v>14484</v>
      </c>
    </row>
    <row r="4004" spans="1:13" x14ac:dyDescent="0.25">
      <c r="A4004">
        <v>7070254</v>
      </c>
      <c r="B4004" t="s">
        <v>14485</v>
      </c>
      <c r="C4004" t="str">
        <f>""</f>
        <v/>
      </c>
      <c r="D4004" t="str">
        <f>"9783110788075"</f>
        <v>9783110788075</v>
      </c>
      <c r="E4004" t="s">
        <v>350</v>
      </c>
      <c r="F4004" s="1">
        <v>44774</v>
      </c>
      <c r="G4004" t="s">
        <v>14486</v>
      </c>
      <c r="H4004" t="s">
        <v>1137</v>
      </c>
      <c r="L4004" t="s">
        <v>291</v>
      </c>
      <c r="M4004" t="s">
        <v>14487</v>
      </c>
    </row>
    <row r="4005" spans="1:13" x14ac:dyDescent="0.25">
      <c r="A4005">
        <v>7070269</v>
      </c>
      <c r="B4005" t="s">
        <v>14488</v>
      </c>
      <c r="C4005" t="str">
        <f>""</f>
        <v/>
      </c>
      <c r="D4005" t="str">
        <f>"9783110698510"</f>
        <v>9783110698510</v>
      </c>
      <c r="E4005" t="s">
        <v>350</v>
      </c>
      <c r="F4005" s="1">
        <v>44795</v>
      </c>
      <c r="G4005" t="s">
        <v>14489</v>
      </c>
      <c r="H4005" t="s">
        <v>16</v>
      </c>
      <c r="J4005">
        <v>126</v>
      </c>
      <c r="L4005" t="s">
        <v>20</v>
      </c>
      <c r="M4005" t="s">
        <v>14490</v>
      </c>
    </row>
    <row r="4006" spans="1:13" x14ac:dyDescent="0.25">
      <c r="A4006">
        <v>7070276</v>
      </c>
      <c r="B4006" t="s">
        <v>14491</v>
      </c>
      <c r="C4006" t="str">
        <f>""</f>
        <v/>
      </c>
      <c r="D4006" t="str">
        <f>"9783110750812"</f>
        <v>9783110750812</v>
      </c>
      <c r="E4006" t="s">
        <v>350</v>
      </c>
      <c r="F4006" s="1">
        <v>44795</v>
      </c>
      <c r="G4006" t="s">
        <v>14492</v>
      </c>
      <c r="H4006" t="s">
        <v>64</v>
      </c>
      <c r="J4006">
        <v>305.89240430904499</v>
      </c>
      <c r="L4006" t="s">
        <v>20</v>
      </c>
      <c r="M4006" t="s">
        <v>14493</v>
      </c>
    </row>
    <row r="4007" spans="1:13" x14ac:dyDescent="0.25">
      <c r="A4007">
        <v>7070277</v>
      </c>
      <c r="B4007" t="s">
        <v>14494</v>
      </c>
      <c r="C4007" t="str">
        <f>""</f>
        <v/>
      </c>
      <c r="D4007" t="str">
        <f>"9783110719444"</f>
        <v>9783110719444</v>
      </c>
      <c r="E4007" t="s">
        <v>350</v>
      </c>
      <c r="F4007" s="1">
        <v>44795</v>
      </c>
      <c r="G4007" t="s">
        <v>14495</v>
      </c>
      <c r="H4007" t="s">
        <v>70</v>
      </c>
      <c r="L4007" t="s">
        <v>291</v>
      </c>
      <c r="M4007" t="s">
        <v>14496</v>
      </c>
    </row>
    <row r="4008" spans="1:13" x14ac:dyDescent="0.25">
      <c r="A4008">
        <v>7070278</v>
      </c>
      <c r="B4008" t="s">
        <v>14497</v>
      </c>
      <c r="C4008" t="str">
        <f>""</f>
        <v/>
      </c>
      <c r="D4008" t="str">
        <f>"9783110784695"</f>
        <v>9783110784695</v>
      </c>
      <c r="E4008" t="s">
        <v>350</v>
      </c>
      <c r="F4008" s="1">
        <v>44795</v>
      </c>
      <c r="G4008" t="s">
        <v>14498</v>
      </c>
      <c r="H4008" t="s">
        <v>851</v>
      </c>
      <c r="J4008">
        <v>445.54</v>
      </c>
      <c r="L4008" t="s">
        <v>20</v>
      </c>
      <c r="M4008" t="s">
        <v>14499</v>
      </c>
    </row>
    <row r="4009" spans="1:13" x14ac:dyDescent="0.25">
      <c r="A4009">
        <v>7070279</v>
      </c>
      <c r="B4009" t="s">
        <v>14500</v>
      </c>
      <c r="C4009" t="str">
        <f>""</f>
        <v/>
      </c>
      <c r="D4009" t="str">
        <f>"9783110732009"</f>
        <v>9783110732009</v>
      </c>
      <c r="E4009" t="s">
        <v>350</v>
      </c>
      <c r="F4009" s="1">
        <v>44795</v>
      </c>
      <c r="G4009" t="s">
        <v>14501</v>
      </c>
      <c r="H4009" t="s">
        <v>272</v>
      </c>
      <c r="J4009">
        <v>25.12</v>
      </c>
      <c r="L4009" t="s">
        <v>20</v>
      </c>
      <c r="M4009" t="s">
        <v>14502</v>
      </c>
    </row>
    <row r="4010" spans="1:13" x14ac:dyDescent="0.25">
      <c r="A4010">
        <v>7070285</v>
      </c>
      <c r="B4010" t="s">
        <v>14503</v>
      </c>
      <c r="C4010" t="str">
        <f>""</f>
        <v/>
      </c>
      <c r="D4010" t="str">
        <f>"9783110782189"</f>
        <v>9783110782189</v>
      </c>
      <c r="E4010" t="s">
        <v>350</v>
      </c>
      <c r="F4010" s="1">
        <v>44795</v>
      </c>
      <c r="G4010" t="s">
        <v>14504</v>
      </c>
      <c r="H4010" t="s">
        <v>139</v>
      </c>
      <c r="L4010" t="s">
        <v>291</v>
      </c>
      <c r="M4010" t="s">
        <v>14505</v>
      </c>
    </row>
    <row r="4011" spans="1:13" x14ac:dyDescent="0.25">
      <c r="A4011">
        <v>7070288</v>
      </c>
      <c r="B4011" t="s">
        <v>14506</v>
      </c>
      <c r="C4011" t="str">
        <f>""</f>
        <v/>
      </c>
      <c r="D4011" t="str">
        <f>"9783110758870"</f>
        <v>9783110758870</v>
      </c>
      <c r="E4011" t="s">
        <v>350</v>
      </c>
      <c r="F4011" s="1">
        <v>44795</v>
      </c>
      <c r="G4011" t="s">
        <v>14507</v>
      </c>
      <c r="H4011" t="s">
        <v>310</v>
      </c>
      <c r="J4011">
        <v>299.54000000000002</v>
      </c>
      <c r="L4011" t="s">
        <v>20</v>
      </c>
      <c r="M4011" t="s">
        <v>14508</v>
      </c>
    </row>
    <row r="4012" spans="1:13" x14ac:dyDescent="0.25">
      <c r="A4012">
        <v>7070289</v>
      </c>
      <c r="B4012" t="s">
        <v>14509</v>
      </c>
      <c r="C4012" t="str">
        <f>""</f>
        <v/>
      </c>
      <c r="D4012" t="str">
        <f>"9783110729221"</f>
        <v>9783110729221</v>
      </c>
      <c r="E4012" t="s">
        <v>350</v>
      </c>
      <c r="F4012" s="1">
        <v>44795</v>
      </c>
      <c r="G4012" t="s">
        <v>13033</v>
      </c>
      <c r="H4012" t="s">
        <v>272</v>
      </c>
      <c r="L4012" t="s">
        <v>291</v>
      </c>
      <c r="M4012" t="s">
        <v>14510</v>
      </c>
    </row>
    <row r="4013" spans="1:13" x14ac:dyDescent="0.25">
      <c r="A4013">
        <v>7070988</v>
      </c>
      <c r="B4013" t="s">
        <v>14511</v>
      </c>
      <c r="C4013" t="str">
        <f>"9783031017902"</f>
        <v>9783031017902</v>
      </c>
      <c r="D4013" t="str">
        <f>"9783031017919"</f>
        <v>9783031017919</v>
      </c>
      <c r="E4013" t="s">
        <v>2905</v>
      </c>
      <c r="F4013" s="1">
        <v>44840</v>
      </c>
      <c r="G4013" t="s">
        <v>14512</v>
      </c>
      <c r="H4013" t="s">
        <v>239</v>
      </c>
      <c r="I4013" t="s">
        <v>14513</v>
      </c>
      <c r="L4013" t="s">
        <v>20</v>
      </c>
      <c r="M4013" t="s">
        <v>14514</v>
      </c>
    </row>
    <row r="4014" spans="1:13" x14ac:dyDescent="0.25">
      <c r="A4014">
        <v>7070996</v>
      </c>
      <c r="B4014" t="s">
        <v>14515</v>
      </c>
      <c r="C4014" t="str">
        <f>"9783030978327"</f>
        <v>9783030978327</v>
      </c>
      <c r="D4014" t="str">
        <f>"9783030978334"</f>
        <v>9783030978334</v>
      </c>
      <c r="E4014" t="s">
        <v>2905</v>
      </c>
      <c r="F4014" s="1">
        <v>44812</v>
      </c>
      <c r="G4014" t="s">
        <v>14516</v>
      </c>
      <c r="H4014" t="s">
        <v>1178</v>
      </c>
      <c r="I4014" t="s">
        <v>13967</v>
      </c>
      <c r="L4014" t="s">
        <v>20</v>
      </c>
      <c r="M4014" t="s">
        <v>14517</v>
      </c>
    </row>
    <row r="4015" spans="1:13" x14ac:dyDescent="0.25">
      <c r="A4015">
        <v>7072353</v>
      </c>
      <c r="B4015" t="s">
        <v>14518</v>
      </c>
      <c r="C4015" t="str">
        <f>"9789811920714"</f>
        <v>9789811920714</v>
      </c>
      <c r="D4015" t="str">
        <f>"9789811920721"</f>
        <v>9789811920721</v>
      </c>
      <c r="E4015" t="s">
        <v>2906</v>
      </c>
      <c r="F4015" s="1">
        <v>44783</v>
      </c>
      <c r="G4015" t="s">
        <v>14519</v>
      </c>
      <c r="H4015" t="s">
        <v>363</v>
      </c>
      <c r="I4015" t="s">
        <v>5090</v>
      </c>
      <c r="L4015" t="s">
        <v>20</v>
      </c>
      <c r="M4015" t="s">
        <v>14520</v>
      </c>
    </row>
    <row r="4016" spans="1:13" x14ac:dyDescent="0.25">
      <c r="A4016">
        <v>7072361</v>
      </c>
      <c r="B4016" t="s">
        <v>14521</v>
      </c>
      <c r="C4016" t="str">
        <f>"9783030991760"</f>
        <v>9783030991760</v>
      </c>
      <c r="D4016" t="str">
        <f>"9783030991777"</f>
        <v>9783030991777</v>
      </c>
      <c r="E4016" t="s">
        <v>2905</v>
      </c>
      <c r="F4016" s="1">
        <v>44783</v>
      </c>
      <c r="G4016" t="s">
        <v>14522</v>
      </c>
      <c r="H4016" t="s">
        <v>2569</v>
      </c>
      <c r="I4016" t="s">
        <v>5247</v>
      </c>
      <c r="L4016" t="s">
        <v>20</v>
      </c>
      <c r="M4016" t="s">
        <v>14523</v>
      </c>
    </row>
    <row r="4017" spans="1:13" x14ac:dyDescent="0.25">
      <c r="A4017">
        <v>7072640</v>
      </c>
      <c r="B4017" t="s">
        <v>14524</v>
      </c>
      <c r="C4017" t="str">
        <f>"9780472075621"</f>
        <v>9780472075621</v>
      </c>
      <c r="D4017" t="str">
        <f>"9780472902989"</f>
        <v>9780472902989</v>
      </c>
      <c r="E4017" t="s">
        <v>6708</v>
      </c>
      <c r="F4017" s="1">
        <v>44880</v>
      </c>
      <c r="G4017" t="s">
        <v>14525</v>
      </c>
      <c r="H4017" t="s">
        <v>30</v>
      </c>
      <c r="L4017" t="s">
        <v>20</v>
      </c>
      <c r="M4017" t="s">
        <v>14526</v>
      </c>
    </row>
    <row r="4018" spans="1:13" x14ac:dyDescent="0.25">
      <c r="A4018">
        <v>7072641</v>
      </c>
      <c r="B4018" t="s">
        <v>14527</v>
      </c>
      <c r="C4018" t="str">
        <f>"9780472055586"</f>
        <v>9780472055586</v>
      </c>
      <c r="D4018" t="str">
        <f>"9780472902958"</f>
        <v>9780472902958</v>
      </c>
      <c r="E4018" t="s">
        <v>6708</v>
      </c>
      <c r="F4018" s="1">
        <v>44812</v>
      </c>
      <c r="G4018" t="s">
        <v>14528</v>
      </c>
      <c r="H4018" t="s">
        <v>246</v>
      </c>
      <c r="L4018" t="s">
        <v>20</v>
      </c>
      <c r="M4018" t="s">
        <v>14529</v>
      </c>
    </row>
    <row r="4019" spans="1:13" x14ac:dyDescent="0.25">
      <c r="A4019">
        <v>7072642</v>
      </c>
      <c r="B4019" t="s">
        <v>14530</v>
      </c>
      <c r="C4019" t="str">
        <f>"9780472075614"</f>
        <v>9780472075614</v>
      </c>
      <c r="D4019" t="str">
        <f>"9780472902972"</f>
        <v>9780472902972</v>
      </c>
      <c r="E4019" t="s">
        <v>6708</v>
      </c>
      <c r="F4019" s="1">
        <v>44873</v>
      </c>
      <c r="G4019" t="s">
        <v>14531</v>
      </c>
      <c r="H4019" t="s">
        <v>139</v>
      </c>
      <c r="L4019" t="s">
        <v>20</v>
      </c>
      <c r="M4019" t="s">
        <v>14532</v>
      </c>
    </row>
    <row r="4020" spans="1:13" x14ac:dyDescent="0.25">
      <c r="A4020">
        <v>7072672</v>
      </c>
      <c r="B4020" t="s">
        <v>14533</v>
      </c>
      <c r="C4020" t="str">
        <f>"9783030998103"</f>
        <v>9783030998103</v>
      </c>
      <c r="D4020" t="str">
        <f>"9783030998110"</f>
        <v>9783030998110</v>
      </c>
      <c r="E4020" t="s">
        <v>2905</v>
      </c>
      <c r="F4020" s="1">
        <v>44815</v>
      </c>
      <c r="G4020" t="s">
        <v>14534</v>
      </c>
      <c r="H4020" t="s">
        <v>1283</v>
      </c>
      <c r="I4020" t="s">
        <v>14535</v>
      </c>
      <c r="L4020" t="s">
        <v>20</v>
      </c>
      <c r="M4020" t="s">
        <v>14536</v>
      </c>
    </row>
    <row r="4021" spans="1:13" x14ac:dyDescent="0.25">
      <c r="A4021">
        <v>7072787</v>
      </c>
      <c r="B4021" t="s">
        <v>14537</v>
      </c>
      <c r="C4021" t="str">
        <f>"9780472133154"</f>
        <v>9780472133154</v>
      </c>
      <c r="D4021" t="str">
        <f>"9780472903115"</f>
        <v>9780472903115</v>
      </c>
      <c r="E4021" t="s">
        <v>6708</v>
      </c>
      <c r="F4021" s="1">
        <v>44804</v>
      </c>
      <c r="G4021" t="s">
        <v>14538</v>
      </c>
      <c r="H4021" t="s">
        <v>246</v>
      </c>
      <c r="L4021" t="s">
        <v>20</v>
      </c>
      <c r="M4021" t="s">
        <v>14539</v>
      </c>
    </row>
    <row r="4022" spans="1:13" x14ac:dyDescent="0.25">
      <c r="A4022">
        <v>7073222</v>
      </c>
      <c r="B4022" t="s">
        <v>14540</v>
      </c>
      <c r="C4022" t="str">
        <f>"9783031074370"</f>
        <v>9783031074370</v>
      </c>
      <c r="D4022" t="str">
        <f>"9783031074387"</f>
        <v>9783031074387</v>
      </c>
      <c r="E4022" t="s">
        <v>2905</v>
      </c>
      <c r="F4022" s="1">
        <v>44823</v>
      </c>
      <c r="G4022" t="s">
        <v>14541</v>
      </c>
      <c r="H4022" t="s">
        <v>363</v>
      </c>
      <c r="I4022" t="s">
        <v>6211</v>
      </c>
      <c r="L4022" t="s">
        <v>20</v>
      </c>
      <c r="M4022" t="s">
        <v>14542</v>
      </c>
    </row>
    <row r="4023" spans="1:13" x14ac:dyDescent="0.25">
      <c r="A4023">
        <v>7073231</v>
      </c>
      <c r="B4023" t="s">
        <v>14543</v>
      </c>
      <c r="C4023" t="str">
        <f>"9783658388560"</f>
        <v>9783658388560</v>
      </c>
      <c r="D4023" t="str">
        <f>"9783658388577"</f>
        <v>9783658388577</v>
      </c>
      <c r="E4023" t="s">
        <v>4472</v>
      </c>
      <c r="F4023" s="1">
        <v>44824</v>
      </c>
      <c r="G4023" t="s">
        <v>14544</v>
      </c>
      <c r="H4023" t="s">
        <v>1753</v>
      </c>
      <c r="I4023" t="s">
        <v>10197</v>
      </c>
      <c r="L4023" t="s">
        <v>291</v>
      </c>
      <c r="M4023" t="s">
        <v>14545</v>
      </c>
    </row>
    <row r="4024" spans="1:13" x14ac:dyDescent="0.25">
      <c r="A4024">
        <v>7073373</v>
      </c>
      <c r="B4024" t="s">
        <v>14546</v>
      </c>
      <c r="C4024" t="str">
        <f>"9783031051593"</f>
        <v>9783031051593</v>
      </c>
      <c r="D4024" t="str">
        <f>"9783031051609"</f>
        <v>9783031051609</v>
      </c>
      <c r="E4024" t="s">
        <v>2905</v>
      </c>
      <c r="F4024" s="1">
        <v>44787</v>
      </c>
      <c r="G4024" t="s">
        <v>14547</v>
      </c>
      <c r="H4024" t="s">
        <v>2597</v>
      </c>
      <c r="I4024" t="s">
        <v>5389</v>
      </c>
      <c r="L4024" t="s">
        <v>20</v>
      </c>
      <c r="M4024" t="s">
        <v>14548</v>
      </c>
    </row>
    <row r="4025" spans="1:13" x14ac:dyDescent="0.25">
      <c r="A4025">
        <v>7073378</v>
      </c>
      <c r="B4025" t="s">
        <v>14549</v>
      </c>
      <c r="C4025" t="str">
        <f>"9783658389574"</f>
        <v>9783658389574</v>
      </c>
      <c r="D4025" t="str">
        <f>"9783658389581"</f>
        <v>9783658389581</v>
      </c>
      <c r="E4025" t="s">
        <v>4472</v>
      </c>
      <c r="F4025" s="1">
        <v>44841</v>
      </c>
      <c r="G4025" t="s">
        <v>14550</v>
      </c>
      <c r="H4025" t="s">
        <v>1753</v>
      </c>
      <c r="I4025" t="s">
        <v>4569</v>
      </c>
      <c r="L4025" t="s">
        <v>291</v>
      </c>
      <c r="M4025" t="s">
        <v>14551</v>
      </c>
    </row>
    <row r="4026" spans="1:13" x14ac:dyDescent="0.25">
      <c r="A4026">
        <v>7074392</v>
      </c>
      <c r="B4026" t="s">
        <v>14552</v>
      </c>
      <c r="C4026" t="str">
        <f>"9783030985264"</f>
        <v>9783030985264</v>
      </c>
      <c r="D4026" t="str">
        <f>"9783030985271"</f>
        <v>9783030985271</v>
      </c>
      <c r="E4026" t="s">
        <v>2905</v>
      </c>
      <c r="F4026" s="1">
        <v>44821</v>
      </c>
      <c r="G4026" t="s">
        <v>14553</v>
      </c>
      <c r="H4026" t="s">
        <v>139</v>
      </c>
      <c r="I4026" t="s">
        <v>6993</v>
      </c>
      <c r="L4026" t="s">
        <v>20</v>
      </c>
      <c r="M4026" t="s">
        <v>14554</v>
      </c>
    </row>
    <row r="4027" spans="1:13" x14ac:dyDescent="0.25">
      <c r="A4027">
        <v>7074833</v>
      </c>
      <c r="B4027" t="s">
        <v>14555</v>
      </c>
      <c r="C4027" t="str">
        <f>"9783031110603"</f>
        <v>9783031110603</v>
      </c>
      <c r="D4027" t="str">
        <f>"9783031110610"</f>
        <v>9783031110610</v>
      </c>
      <c r="E4027" t="s">
        <v>2905</v>
      </c>
      <c r="F4027" s="1">
        <v>44790</v>
      </c>
      <c r="G4027" t="s">
        <v>14556</v>
      </c>
      <c r="H4027" t="s">
        <v>30</v>
      </c>
      <c r="I4027" t="s">
        <v>4676</v>
      </c>
      <c r="L4027" t="s">
        <v>20</v>
      </c>
      <c r="M4027" t="s">
        <v>14557</v>
      </c>
    </row>
    <row r="4028" spans="1:13" x14ac:dyDescent="0.25">
      <c r="A4028">
        <v>7074842</v>
      </c>
      <c r="B4028" t="s">
        <v>14558</v>
      </c>
      <c r="C4028" t="str">
        <f>"9789027211477"</f>
        <v>9789027211477</v>
      </c>
      <c r="D4028" t="str">
        <f>"9789027257536"</f>
        <v>9789027257536</v>
      </c>
      <c r="E4028" t="s">
        <v>1728</v>
      </c>
      <c r="F4028" s="1">
        <v>44819</v>
      </c>
      <c r="G4028" t="s">
        <v>14559</v>
      </c>
      <c r="H4028" t="s">
        <v>851</v>
      </c>
      <c r="J4028">
        <v>499.99200000000002</v>
      </c>
      <c r="L4028" t="s">
        <v>20</v>
      </c>
      <c r="M4028" t="s">
        <v>14560</v>
      </c>
    </row>
    <row r="4029" spans="1:13" x14ac:dyDescent="0.25">
      <c r="A4029">
        <v>7076024</v>
      </c>
      <c r="B4029" t="s">
        <v>14561</v>
      </c>
      <c r="C4029" t="str">
        <f>"9783030992057"</f>
        <v>9783030992057</v>
      </c>
      <c r="D4029" t="str">
        <f>"9783030992064"</f>
        <v>9783030992064</v>
      </c>
      <c r="E4029" t="s">
        <v>2905</v>
      </c>
      <c r="F4029" s="1">
        <v>44840</v>
      </c>
      <c r="G4029" t="s">
        <v>14562</v>
      </c>
      <c r="H4029" t="s">
        <v>1283</v>
      </c>
      <c r="I4029" t="s">
        <v>8336</v>
      </c>
      <c r="L4029" t="s">
        <v>20</v>
      </c>
      <c r="M4029" t="s">
        <v>14563</v>
      </c>
    </row>
    <row r="4030" spans="1:13" x14ac:dyDescent="0.25">
      <c r="A4030">
        <v>7076026</v>
      </c>
      <c r="B4030" t="s">
        <v>14564</v>
      </c>
      <c r="C4030" t="str">
        <f>"9783031065491"</f>
        <v>9783031065491</v>
      </c>
      <c r="D4030" t="str">
        <f>"9783031065507"</f>
        <v>9783031065507</v>
      </c>
      <c r="E4030" t="s">
        <v>2905</v>
      </c>
      <c r="F4030" s="1">
        <v>44827</v>
      </c>
      <c r="G4030" t="s">
        <v>14565</v>
      </c>
      <c r="H4030" t="s">
        <v>64</v>
      </c>
      <c r="I4030" t="s">
        <v>4102</v>
      </c>
      <c r="L4030" t="s">
        <v>20</v>
      </c>
      <c r="M4030" t="s">
        <v>14566</v>
      </c>
    </row>
    <row r="4031" spans="1:13" x14ac:dyDescent="0.25">
      <c r="A4031">
        <v>7076046</v>
      </c>
      <c r="B4031" t="s">
        <v>14567</v>
      </c>
      <c r="C4031" t="str">
        <f>"9783658382056"</f>
        <v>9783658382056</v>
      </c>
      <c r="D4031" t="str">
        <f>"9783658382063"</f>
        <v>9783658382063</v>
      </c>
      <c r="E4031" t="s">
        <v>4472</v>
      </c>
      <c r="F4031" s="1">
        <v>44831</v>
      </c>
      <c r="G4031" t="s">
        <v>14568</v>
      </c>
      <c r="H4031" t="s">
        <v>1753</v>
      </c>
      <c r="I4031" t="s">
        <v>9763</v>
      </c>
      <c r="L4031" t="s">
        <v>291</v>
      </c>
      <c r="M4031" t="s">
        <v>14569</v>
      </c>
    </row>
    <row r="4032" spans="1:13" x14ac:dyDescent="0.25">
      <c r="A4032">
        <v>7076050</v>
      </c>
      <c r="B4032" t="s">
        <v>14570</v>
      </c>
      <c r="C4032" t="str">
        <f>"9783031044830"</f>
        <v>9783031044830</v>
      </c>
      <c r="D4032" t="str">
        <f>"9783031044847"</f>
        <v>9783031044847</v>
      </c>
      <c r="E4032" t="s">
        <v>2905</v>
      </c>
      <c r="F4032" s="1">
        <v>44828</v>
      </c>
      <c r="G4032" t="s">
        <v>14571</v>
      </c>
      <c r="H4032" t="s">
        <v>266</v>
      </c>
      <c r="I4032" t="s">
        <v>14572</v>
      </c>
      <c r="L4032" t="s">
        <v>20</v>
      </c>
      <c r="M4032" t="s">
        <v>14573</v>
      </c>
    </row>
    <row r="4033" spans="1:13" x14ac:dyDescent="0.25">
      <c r="A4033">
        <v>7076090</v>
      </c>
      <c r="B4033" t="s">
        <v>14574</v>
      </c>
      <c r="C4033" t="str">
        <f>"9780472075522"</f>
        <v>9780472075522</v>
      </c>
      <c r="D4033" t="str">
        <f>"9780472902903"</f>
        <v>9780472902903</v>
      </c>
      <c r="E4033" t="s">
        <v>6708</v>
      </c>
      <c r="F4033" s="1">
        <v>44844</v>
      </c>
      <c r="G4033" t="s">
        <v>14575</v>
      </c>
      <c r="H4033" t="s">
        <v>30</v>
      </c>
      <c r="L4033" t="s">
        <v>20</v>
      </c>
      <c r="M4033" t="s">
        <v>14576</v>
      </c>
    </row>
    <row r="4034" spans="1:13" x14ac:dyDescent="0.25">
      <c r="A4034">
        <v>7076296</v>
      </c>
      <c r="B4034" t="s">
        <v>14577</v>
      </c>
      <c r="C4034" t="str">
        <f>""</f>
        <v/>
      </c>
      <c r="D4034" t="str">
        <f>"9783110776485"</f>
        <v>9783110776485</v>
      </c>
      <c r="E4034" t="s">
        <v>350</v>
      </c>
      <c r="F4034" s="1">
        <v>44824</v>
      </c>
      <c r="G4034" t="s">
        <v>14578</v>
      </c>
      <c r="H4034" t="s">
        <v>2293</v>
      </c>
      <c r="J4034">
        <v>91.091767000000004</v>
      </c>
      <c r="L4034" t="s">
        <v>20</v>
      </c>
      <c r="M4034" t="s">
        <v>14579</v>
      </c>
    </row>
    <row r="4035" spans="1:13" x14ac:dyDescent="0.25">
      <c r="A4035">
        <v>7076299</v>
      </c>
      <c r="B4035" t="s">
        <v>14580</v>
      </c>
      <c r="C4035" t="str">
        <f>""</f>
        <v/>
      </c>
      <c r="D4035" t="str">
        <f>"9783110618150"</f>
        <v>9783110618150</v>
      </c>
      <c r="E4035" t="s">
        <v>350</v>
      </c>
      <c r="F4035" s="1">
        <v>44810</v>
      </c>
      <c r="G4035" t="s">
        <v>14581</v>
      </c>
      <c r="H4035" t="s">
        <v>310</v>
      </c>
      <c r="J4035">
        <v>230</v>
      </c>
      <c r="L4035" t="s">
        <v>20</v>
      </c>
      <c r="M4035" t="s">
        <v>14582</v>
      </c>
    </row>
    <row r="4036" spans="1:13" x14ac:dyDescent="0.25">
      <c r="A4036">
        <v>7076300</v>
      </c>
      <c r="B4036" t="s">
        <v>14583</v>
      </c>
      <c r="C4036" t="str">
        <f>""</f>
        <v/>
      </c>
      <c r="D4036" t="str">
        <f>"9783110726404"</f>
        <v>9783110726404</v>
      </c>
      <c r="E4036" t="s">
        <v>350</v>
      </c>
      <c r="F4036" s="1">
        <v>44810</v>
      </c>
      <c r="G4036" t="s">
        <v>14584</v>
      </c>
      <c r="H4036" t="s">
        <v>70</v>
      </c>
      <c r="L4036" t="s">
        <v>291</v>
      </c>
      <c r="M4036" t="s">
        <v>14585</v>
      </c>
    </row>
    <row r="4037" spans="1:13" x14ac:dyDescent="0.25">
      <c r="A4037">
        <v>7076308</v>
      </c>
      <c r="B4037" t="s">
        <v>14586</v>
      </c>
      <c r="C4037" t="str">
        <f>""</f>
        <v/>
      </c>
      <c r="D4037" t="str">
        <f>"9783110698046"</f>
        <v>9783110698046</v>
      </c>
      <c r="E4037" t="s">
        <v>350</v>
      </c>
      <c r="F4037" s="1">
        <v>44810</v>
      </c>
      <c r="G4037" t="s">
        <v>14587</v>
      </c>
      <c r="H4037" t="s">
        <v>5236</v>
      </c>
      <c r="J4037">
        <v>915.61041499999999</v>
      </c>
      <c r="L4037" t="s">
        <v>20</v>
      </c>
      <c r="M4037" t="s">
        <v>14588</v>
      </c>
    </row>
    <row r="4038" spans="1:13" x14ac:dyDescent="0.25">
      <c r="A4038">
        <v>7076310</v>
      </c>
      <c r="B4038" t="s">
        <v>14589</v>
      </c>
      <c r="C4038" t="str">
        <f>""</f>
        <v/>
      </c>
      <c r="D4038" t="str">
        <f>"9783110695090"</f>
        <v>9783110695090</v>
      </c>
      <c r="E4038" t="s">
        <v>350</v>
      </c>
      <c r="F4038" s="1">
        <v>44810</v>
      </c>
      <c r="G4038" t="s">
        <v>14590</v>
      </c>
      <c r="H4038" t="s">
        <v>70</v>
      </c>
      <c r="J4038">
        <v>830.91449999999998</v>
      </c>
      <c r="L4038" t="s">
        <v>20</v>
      </c>
      <c r="M4038" t="s">
        <v>14591</v>
      </c>
    </row>
    <row r="4039" spans="1:13" x14ac:dyDescent="0.25">
      <c r="A4039">
        <v>7076311</v>
      </c>
      <c r="B4039" t="s">
        <v>14592</v>
      </c>
      <c r="C4039" t="str">
        <f>""</f>
        <v/>
      </c>
      <c r="D4039" t="str">
        <f>"9783110780574"</f>
        <v>9783110780574</v>
      </c>
      <c r="E4039" t="s">
        <v>350</v>
      </c>
      <c r="F4039" s="1">
        <v>44810</v>
      </c>
      <c r="G4039" t="s">
        <v>14593</v>
      </c>
      <c r="H4039" t="s">
        <v>70</v>
      </c>
      <c r="J4039">
        <v>813.54</v>
      </c>
      <c r="L4039" t="s">
        <v>20</v>
      </c>
      <c r="M4039" t="s">
        <v>14594</v>
      </c>
    </row>
    <row r="4040" spans="1:13" x14ac:dyDescent="0.25">
      <c r="A4040">
        <v>7076319</v>
      </c>
      <c r="B4040" t="s">
        <v>14595</v>
      </c>
      <c r="C4040" t="str">
        <f>""</f>
        <v/>
      </c>
      <c r="D4040" t="str">
        <f>"9783110754469"</f>
        <v>9783110754469</v>
      </c>
      <c r="E4040" t="s">
        <v>350</v>
      </c>
      <c r="F4040" s="1">
        <v>44810</v>
      </c>
      <c r="G4040" t="s">
        <v>14596</v>
      </c>
      <c r="H4040" t="s">
        <v>246</v>
      </c>
      <c r="J4040">
        <v>779.99580000000003</v>
      </c>
      <c r="L4040" t="s">
        <v>20</v>
      </c>
      <c r="M4040" t="s">
        <v>14597</v>
      </c>
    </row>
    <row r="4041" spans="1:13" x14ac:dyDescent="0.25">
      <c r="A4041">
        <v>7076321</v>
      </c>
      <c r="B4041" t="s">
        <v>14598</v>
      </c>
      <c r="C4041" t="str">
        <f>""</f>
        <v/>
      </c>
      <c r="D4041" t="str">
        <f>"9783110786965"</f>
        <v>9783110786965</v>
      </c>
      <c r="E4041" t="s">
        <v>350</v>
      </c>
      <c r="F4041" s="1">
        <v>44810</v>
      </c>
      <c r="H4041" t="s">
        <v>239</v>
      </c>
      <c r="L4041" t="s">
        <v>291</v>
      </c>
      <c r="M4041" t="s">
        <v>14599</v>
      </c>
    </row>
    <row r="4042" spans="1:13" x14ac:dyDescent="0.25">
      <c r="A4042">
        <v>7076323</v>
      </c>
      <c r="B4042" t="s">
        <v>14600</v>
      </c>
      <c r="C4042" t="str">
        <f>""</f>
        <v/>
      </c>
      <c r="D4042" t="str">
        <f>"9783110772388"</f>
        <v>9783110772388</v>
      </c>
      <c r="E4042" t="s">
        <v>350</v>
      </c>
      <c r="F4042" s="1">
        <v>44760</v>
      </c>
      <c r="G4042" t="s">
        <v>14601</v>
      </c>
      <c r="H4042" t="s">
        <v>139</v>
      </c>
      <c r="L4042" t="s">
        <v>291</v>
      </c>
      <c r="M4042" t="s">
        <v>14602</v>
      </c>
    </row>
    <row r="4043" spans="1:13" x14ac:dyDescent="0.25">
      <c r="A4043">
        <v>7076325</v>
      </c>
      <c r="B4043" t="s">
        <v>14603</v>
      </c>
      <c r="C4043" t="str">
        <f>""</f>
        <v/>
      </c>
      <c r="D4043" t="str">
        <f>"9783110744552"</f>
        <v>9783110744552</v>
      </c>
      <c r="E4043" t="s">
        <v>350</v>
      </c>
      <c r="F4043" s="1">
        <v>44810</v>
      </c>
      <c r="G4043" t="s">
        <v>14604</v>
      </c>
      <c r="H4043" t="s">
        <v>64</v>
      </c>
      <c r="J4043">
        <v>303.48200000000003</v>
      </c>
      <c r="L4043" t="s">
        <v>20</v>
      </c>
      <c r="M4043" t="s">
        <v>14605</v>
      </c>
    </row>
    <row r="4044" spans="1:13" x14ac:dyDescent="0.25">
      <c r="A4044">
        <v>7076327</v>
      </c>
      <c r="B4044" t="s">
        <v>14606</v>
      </c>
      <c r="C4044" t="str">
        <f>""</f>
        <v/>
      </c>
      <c r="D4044" t="str">
        <f>"9783110757101"</f>
        <v>9783110757101</v>
      </c>
      <c r="E4044" t="s">
        <v>350</v>
      </c>
      <c r="F4044" s="1">
        <v>44810</v>
      </c>
      <c r="G4044" t="s">
        <v>14607</v>
      </c>
      <c r="H4044" t="s">
        <v>139</v>
      </c>
      <c r="L4044" t="s">
        <v>291</v>
      </c>
      <c r="M4044" t="s">
        <v>14608</v>
      </c>
    </row>
    <row r="4045" spans="1:13" x14ac:dyDescent="0.25">
      <c r="A4045">
        <v>7076755</v>
      </c>
      <c r="B4045" t="s">
        <v>14609</v>
      </c>
      <c r="C4045" t="str">
        <f>"9783031065699"</f>
        <v>9783031065699</v>
      </c>
      <c r="D4045" t="str">
        <f>"9783031065705"</f>
        <v>9783031065705</v>
      </c>
      <c r="E4045" t="s">
        <v>2905</v>
      </c>
      <c r="F4045" s="1">
        <v>44857</v>
      </c>
      <c r="G4045" t="s">
        <v>14610</v>
      </c>
      <c r="H4045" t="s">
        <v>310</v>
      </c>
      <c r="I4045" t="s">
        <v>11438</v>
      </c>
      <c r="L4045" t="s">
        <v>20</v>
      </c>
      <c r="M4045" t="s">
        <v>14611</v>
      </c>
    </row>
    <row r="4046" spans="1:13" x14ac:dyDescent="0.25">
      <c r="A4046">
        <v>7076794</v>
      </c>
      <c r="B4046" t="s">
        <v>14612</v>
      </c>
      <c r="C4046" t="str">
        <f>"9783658380250"</f>
        <v>9783658380250</v>
      </c>
      <c r="D4046" t="str">
        <f>"9783658380267"</f>
        <v>9783658380267</v>
      </c>
      <c r="E4046" t="s">
        <v>4472</v>
      </c>
      <c r="F4046" s="1">
        <v>44796</v>
      </c>
      <c r="G4046" t="s">
        <v>14613</v>
      </c>
      <c r="H4046" t="s">
        <v>1753</v>
      </c>
      <c r="I4046" t="s">
        <v>8375</v>
      </c>
      <c r="L4046" t="s">
        <v>291</v>
      </c>
      <c r="M4046" t="s">
        <v>14614</v>
      </c>
    </row>
    <row r="4047" spans="1:13" x14ac:dyDescent="0.25">
      <c r="A4047">
        <v>7077172</v>
      </c>
      <c r="B4047" t="s">
        <v>14615</v>
      </c>
      <c r="C4047" t="str">
        <f>"9783031158445"</f>
        <v>9783031158445</v>
      </c>
      <c r="D4047" t="str">
        <f>"9783031158452"</f>
        <v>9783031158452</v>
      </c>
      <c r="E4047" t="s">
        <v>2905</v>
      </c>
      <c r="F4047" s="1">
        <v>44797</v>
      </c>
      <c r="G4047" t="s">
        <v>14616</v>
      </c>
      <c r="H4047" t="s">
        <v>64</v>
      </c>
      <c r="I4047" t="s">
        <v>14617</v>
      </c>
      <c r="L4047" t="s">
        <v>20</v>
      </c>
      <c r="M4047" t="s">
        <v>14618</v>
      </c>
    </row>
    <row r="4048" spans="1:13" x14ac:dyDescent="0.25">
      <c r="A4048">
        <v>7077625</v>
      </c>
      <c r="B4048" t="s">
        <v>14619</v>
      </c>
      <c r="C4048" t="str">
        <f>"9783031061264"</f>
        <v>9783031061264</v>
      </c>
      <c r="D4048" t="str">
        <f>"9783031061271"</f>
        <v>9783031061271</v>
      </c>
      <c r="E4048" t="s">
        <v>2905</v>
      </c>
      <c r="F4048" s="1">
        <v>44829</v>
      </c>
      <c r="G4048" t="s">
        <v>14620</v>
      </c>
      <c r="H4048" t="s">
        <v>1586</v>
      </c>
      <c r="I4048" t="s">
        <v>11692</v>
      </c>
      <c r="L4048" t="s">
        <v>20</v>
      </c>
      <c r="M4048" t="s">
        <v>14621</v>
      </c>
    </row>
    <row r="4049" spans="1:13" x14ac:dyDescent="0.25">
      <c r="A4049">
        <v>7077634</v>
      </c>
      <c r="B4049" t="s">
        <v>14622</v>
      </c>
      <c r="C4049" t="str">
        <f>"9783658383862"</f>
        <v>9783658383862</v>
      </c>
      <c r="D4049" t="str">
        <f>"9783658383879"</f>
        <v>9783658383879</v>
      </c>
      <c r="E4049" t="s">
        <v>4472</v>
      </c>
      <c r="F4049" s="1">
        <v>44829</v>
      </c>
      <c r="G4049" t="s">
        <v>14623</v>
      </c>
      <c r="H4049" t="s">
        <v>1178</v>
      </c>
      <c r="I4049" t="s">
        <v>4478</v>
      </c>
      <c r="L4049" t="s">
        <v>291</v>
      </c>
      <c r="M4049" t="s">
        <v>14624</v>
      </c>
    </row>
    <row r="4050" spans="1:13" x14ac:dyDescent="0.25">
      <c r="A4050">
        <v>7077649</v>
      </c>
      <c r="B4050" t="s">
        <v>14625</v>
      </c>
      <c r="C4050" t="str">
        <f>"9783031114656"</f>
        <v>9783031114656</v>
      </c>
      <c r="D4050" t="str">
        <f>"9783031114663"</f>
        <v>9783031114663</v>
      </c>
      <c r="E4050" t="s">
        <v>2905</v>
      </c>
      <c r="F4050" s="1">
        <v>44829</v>
      </c>
      <c r="G4050" t="s">
        <v>14626</v>
      </c>
      <c r="H4050" t="s">
        <v>30</v>
      </c>
      <c r="I4050" t="s">
        <v>4676</v>
      </c>
      <c r="L4050" t="s">
        <v>20</v>
      </c>
      <c r="M4050" t="s">
        <v>14627</v>
      </c>
    </row>
    <row r="4051" spans="1:13" x14ac:dyDescent="0.25">
      <c r="A4051">
        <v>7077834</v>
      </c>
      <c r="B4051" t="s">
        <v>14628</v>
      </c>
      <c r="C4051" t="str">
        <f>"9789811937620"</f>
        <v>9789811937620</v>
      </c>
      <c r="D4051" t="str">
        <f>"9789811937637"</f>
        <v>9789811937637</v>
      </c>
      <c r="E4051" t="s">
        <v>2906</v>
      </c>
      <c r="F4051" s="1">
        <v>44835</v>
      </c>
      <c r="G4051" t="s">
        <v>14629</v>
      </c>
      <c r="H4051" t="s">
        <v>1178</v>
      </c>
      <c r="I4051" t="s">
        <v>14630</v>
      </c>
      <c r="L4051" t="s">
        <v>20</v>
      </c>
      <c r="M4051" t="s">
        <v>14631</v>
      </c>
    </row>
    <row r="4052" spans="1:13" x14ac:dyDescent="0.25">
      <c r="A4052">
        <v>7078021</v>
      </c>
      <c r="B4052" t="s">
        <v>14632</v>
      </c>
      <c r="C4052" t="str">
        <f>"9783658383008"</f>
        <v>9783658383008</v>
      </c>
      <c r="D4052" t="str">
        <f>"9783658383015"</f>
        <v>9783658383015</v>
      </c>
      <c r="E4052" t="s">
        <v>4472</v>
      </c>
      <c r="F4052" s="1">
        <v>44842</v>
      </c>
      <c r="G4052" t="s">
        <v>14633</v>
      </c>
      <c r="H4052" t="s">
        <v>1624</v>
      </c>
      <c r="I4052" t="s">
        <v>6896</v>
      </c>
      <c r="L4052" t="s">
        <v>291</v>
      </c>
      <c r="M4052" t="s">
        <v>14634</v>
      </c>
    </row>
    <row r="4053" spans="1:13" x14ac:dyDescent="0.25">
      <c r="A4053">
        <v>7078087</v>
      </c>
      <c r="B4053" t="s">
        <v>14635</v>
      </c>
      <c r="C4053" t="str">
        <f>"9789811927829"</f>
        <v>9789811927829</v>
      </c>
      <c r="D4053" t="str">
        <f>"9789811927836"</f>
        <v>9789811927836</v>
      </c>
      <c r="E4053" t="s">
        <v>2906</v>
      </c>
      <c r="F4053" s="1">
        <v>44821</v>
      </c>
      <c r="G4053" t="s">
        <v>14636</v>
      </c>
      <c r="H4053" t="s">
        <v>3355</v>
      </c>
      <c r="I4053" t="s">
        <v>4782</v>
      </c>
      <c r="L4053" t="s">
        <v>20</v>
      </c>
      <c r="M4053" t="s">
        <v>14637</v>
      </c>
    </row>
    <row r="4054" spans="1:13" x14ac:dyDescent="0.25">
      <c r="A4054">
        <v>7078129</v>
      </c>
      <c r="B4054" t="s">
        <v>14638</v>
      </c>
      <c r="C4054" t="str">
        <f>""</f>
        <v/>
      </c>
      <c r="D4054" t="str">
        <f>"9783110734522"</f>
        <v>9783110734522</v>
      </c>
      <c r="E4054" t="s">
        <v>350</v>
      </c>
      <c r="F4054" s="1">
        <v>44795</v>
      </c>
      <c r="G4054" t="s">
        <v>14639</v>
      </c>
      <c r="H4054" t="s">
        <v>16</v>
      </c>
      <c r="L4054" t="s">
        <v>291</v>
      </c>
      <c r="M4054" t="s">
        <v>14640</v>
      </c>
    </row>
    <row r="4055" spans="1:13" x14ac:dyDescent="0.25">
      <c r="A4055">
        <v>7078310</v>
      </c>
      <c r="B4055" t="s">
        <v>14641</v>
      </c>
      <c r="C4055" t="str">
        <f>"9783031092848"</f>
        <v>9783031092848</v>
      </c>
      <c r="D4055" t="str">
        <f>"9783031092855"</f>
        <v>9783031092855</v>
      </c>
      <c r="E4055" t="s">
        <v>2905</v>
      </c>
      <c r="F4055" s="1">
        <v>44803</v>
      </c>
      <c r="G4055" t="s">
        <v>14642</v>
      </c>
      <c r="H4055" t="s">
        <v>310</v>
      </c>
      <c r="I4055" t="s">
        <v>5268</v>
      </c>
      <c r="J4055">
        <v>261.56</v>
      </c>
      <c r="L4055" t="s">
        <v>20</v>
      </c>
      <c r="M4055" t="s">
        <v>14643</v>
      </c>
    </row>
    <row r="4056" spans="1:13" x14ac:dyDescent="0.25">
      <c r="A4056">
        <v>7079081</v>
      </c>
      <c r="B4056" t="s">
        <v>14644</v>
      </c>
      <c r="C4056" t="str">
        <f>"9783031090073"</f>
        <v>9783031090073</v>
      </c>
      <c r="D4056" t="str">
        <f>"9783031090080"</f>
        <v>9783031090080</v>
      </c>
      <c r="E4056" t="s">
        <v>2905</v>
      </c>
      <c r="F4056" s="1">
        <v>44804</v>
      </c>
      <c r="G4056" t="s">
        <v>14645</v>
      </c>
      <c r="H4056" t="s">
        <v>2623</v>
      </c>
      <c r="I4056" t="s">
        <v>4886</v>
      </c>
      <c r="L4056" t="s">
        <v>20</v>
      </c>
      <c r="M4056" t="s">
        <v>14646</v>
      </c>
    </row>
    <row r="4057" spans="1:13" x14ac:dyDescent="0.25">
      <c r="A4057">
        <v>7079584</v>
      </c>
      <c r="B4057" t="s">
        <v>14647</v>
      </c>
      <c r="C4057" t="str">
        <f>"9789811947582"</f>
        <v>9789811947582</v>
      </c>
      <c r="D4057" t="str">
        <f>"9789811947599"</f>
        <v>9789811947599</v>
      </c>
      <c r="E4057" t="s">
        <v>2906</v>
      </c>
      <c r="F4057" s="1">
        <v>44803</v>
      </c>
      <c r="G4057" t="s">
        <v>14648</v>
      </c>
      <c r="H4057" t="s">
        <v>1753</v>
      </c>
      <c r="I4057" t="s">
        <v>4569</v>
      </c>
      <c r="L4057" t="s">
        <v>20</v>
      </c>
      <c r="M4057" t="s">
        <v>14649</v>
      </c>
    </row>
    <row r="4058" spans="1:13" x14ac:dyDescent="0.25">
      <c r="A4058">
        <v>7079588</v>
      </c>
      <c r="B4058" t="s">
        <v>14650</v>
      </c>
      <c r="C4058" t="str">
        <f>"9783031130700"</f>
        <v>9783031130700</v>
      </c>
      <c r="D4058" t="str">
        <f>"9783031130717"</f>
        <v>9783031130717</v>
      </c>
      <c r="E4058" t="s">
        <v>2905</v>
      </c>
      <c r="F4058" s="1">
        <v>44804</v>
      </c>
      <c r="G4058" t="s">
        <v>14651</v>
      </c>
      <c r="H4058" t="s">
        <v>64</v>
      </c>
      <c r="I4058" t="s">
        <v>14652</v>
      </c>
      <c r="J4058">
        <v>305.31</v>
      </c>
      <c r="L4058" t="s">
        <v>20</v>
      </c>
      <c r="M4058" t="s">
        <v>14653</v>
      </c>
    </row>
    <row r="4059" spans="1:13" x14ac:dyDescent="0.25">
      <c r="A4059">
        <v>7079591</v>
      </c>
      <c r="B4059" t="s">
        <v>14654</v>
      </c>
      <c r="C4059" t="str">
        <f>"9783658368173"</f>
        <v>9783658368173</v>
      </c>
      <c r="D4059" t="str">
        <f>"9783658368180"</f>
        <v>9783658368180</v>
      </c>
      <c r="E4059" t="s">
        <v>4472</v>
      </c>
      <c r="F4059" s="1">
        <v>44829</v>
      </c>
      <c r="G4059" t="s">
        <v>14655</v>
      </c>
      <c r="H4059" t="s">
        <v>1753</v>
      </c>
      <c r="I4059" t="s">
        <v>14656</v>
      </c>
      <c r="L4059" t="s">
        <v>20</v>
      </c>
      <c r="M4059" t="s">
        <v>14657</v>
      </c>
    </row>
    <row r="4060" spans="1:13" x14ac:dyDescent="0.25">
      <c r="A4060">
        <v>7079600</v>
      </c>
      <c r="B4060" t="s">
        <v>14658</v>
      </c>
      <c r="C4060" t="str">
        <f>"9789811926105"</f>
        <v>9789811926105</v>
      </c>
      <c r="D4060" t="str">
        <f>"9789811926112"</f>
        <v>9789811926112</v>
      </c>
      <c r="E4060" t="s">
        <v>3313</v>
      </c>
      <c r="F4060" s="1">
        <v>44836</v>
      </c>
      <c r="G4060" t="s">
        <v>14659</v>
      </c>
      <c r="H4060" t="s">
        <v>30</v>
      </c>
      <c r="I4060" t="s">
        <v>14660</v>
      </c>
      <c r="L4060" t="s">
        <v>20</v>
      </c>
      <c r="M4060" t="s">
        <v>14661</v>
      </c>
    </row>
    <row r="4061" spans="1:13" x14ac:dyDescent="0.25">
      <c r="A4061">
        <v>7079636</v>
      </c>
      <c r="B4061" t="s">
        <v>14662</v>
      </c>
      <c r="C4061" t="str">
        <f>"9783030976057"</f>
        <v>9783030976057</v>
      </c>
      <c r="D4061" t="str">
        <f>"9783030976064"</f>
        <v>9783030976064</v>
      </c>
      <c r="E4061" t="s">
        <v>2905</v>
      </c>
      <c r="F4061" s="1">
        <v>44836</v>
      </c>
      <c r="G4061" t="s">
        <v>14663</v>
      </c>
      <c r="H4061" t="s">
        <v>266</v>
      </c>
      <c r="I4061" t="s">
        <v>6577</v>
      </c>
      <c r="L4061" t="s">
        <v>20</v>
      </c>
      <c r="M4061" t="s">
        <v>14664</v>
      </c>
    </row>
    <row r="4062" spans="1:13" x14ac:dyDescent="0.25">
      <c r="A4062">
        <v>7079666</v>
      </c>
      <c r="B4062" t="s">
        <v>14665</v>
      </c>
      <c r="C4062" t="str">
        <f>"9789811951770"</f>
        <v>9789811951770</v>
      </c>
      <c r="D4062" t="str">
        <f>"9789811951787"</f>
        <v>9789811951787</v>
      </c>
      <c r="E4062" t="s">
        <v>2906</v>
      </c>
      <c r="F4062" s="1">
        <v>44804</v>
      </c>
      <c r="G4062" t="s">
        <v>14666</v>
      </c>
      <c r="H4062" t="s">
        <v>363</v>
      </c>
      <c r="I4062" t="s">
        <v>4529</v>
      </c>
      <c r="L4062" t="s">
        <v>20</v>
      </c>
      <c r="M4062" t="s">
        <v>14667</v>
      </c>
    </row>
    <row r="4063" spans="1:13" x14ac:dyDescent="0.25">
      <c r="A4063">
        <v>7080101</v>
      </c>
      <c r="B4063" t="s">
        <v>14668</v>
      </c>
      <c r="C4063" t="str">
        <f>"9783030978259"</f>
        <v>9783030978259</v>
      </c>
      <c r="D4063" t="str">
        <f>"9783030978266"</f>
        <v>9783030978266</v>
      </c>
      <c r="E4063" t="s">
        <v>2905</v>
      </c>
      <c r="F4063" s="1">
        <v>44857</v>
      </c>
      <c r="G4063" t="s">
        <v>14669</v>
      </c>
      <c r="H4063" t="s">
        <v>239</v>
      </c>
      <c r="I4063" t="s">
        <v>5362</v>
      </c>
      <c r="L4063" t="s">
        <v>20</v>
      </c>
      <c r="M4063" t="s">
        <v>14670</v>
      </c>
    </row>
    <row r="4064" spans="1:13" x14ac:dyDescent="0.25">
      <c r="A4064">
        <v>7080111</v>
      </c>
      <c r="B4064" t="s">
        <v>14671</v>
      </c>
      <c r="C4064" t="str">
        <f>"9783031118395"</f>
        <v>9783031118395</v>
      </c>
      <c r="D4064" t="str">
        <f>"9783031118401"</f>
        <v>9783031118401</v>
      </c>
      <c r="E4064" t="s">
        <v>2905</v>
      </c>
      <c r="F4064" s="1">
        <v>44842</v>
      </c>
      <c r="G4064" t="s">
        <v>14672</v>
      </c>
      <c r="H4064" t="s">
        <v>1753</v>
      </c>
      <c r="I4064" t="s">
        <v>4609</v>
      </c>
      <c r="L4064" t="s">
        <v>20</v>
      </c>
      <c r="M4064" t="s">
        <v>14673</v>
      </c>
    </row>
    <row r="4065" spans="1:13" x14ac:dyDescent="0.25">
      <c r="A4065">
        <v>7080146</v>
      </c>
      <c r="B4065" t="s">
        <v>14674</v>
      </c>
      <c r="C4065" t="str">
        <f>"9783031097119"</f>
        <v>9783031097119</v>
      </c>
      <c r="D4065" t="str">
        <f>"9783031097126"</f>
        <v>9783031097126</v>
      </c>
      <c r="E4065" t="s">
        <v>2905</v>
      </c>
      <c r="F4065" s="1">
        <v>44837</v>
      </c>
      <c r="G4065" t="s">
        <v>14675</v>
      </c>
      <c r="H4065" t="s">
        <v>1753</v>
      </c>
      <c r="I4065" t="s">
        <v>6039</v>
      </c>
      <c r="L4065" t="s">
        <v>20</v>
      </c>
      <c r="M4065" t="s">
        <v>14676</v>
      </c>
    </row>
    <row r="4066" spans="1:13" x14ac:dyDescent="0.25">
      <c r="A4066">
        <v>7080214</v>
      </c>
      <c r="B4066" t="s">
        <v>14677</v>
      </c>
      <c r="C4066" t="str">
        <f>"9783031159107"</f>
        <v>9783031159107</v>
      </c>
      <c r="D4066" t="str">
        <f>"9783031159114"</f>
        <v>9783031159114</v>
      </c>
      <c r="E4066" t="s">
        <v>2905</v>
      </c>
      <c r="F4066" s="1">
        <v>44849</v>
      </c>
      <c r="G4066" t="s">
        <v>14678</v>
      </c>
      <c r="H4066" t="s">
        <v>1178</v>
      </c>
      <c r="I4066" t="s">
        <v>11974</v>
      </c>
      <c r="L4066" t="s">
        <v>20</v>
      </c>
      <c r="M4066" t="s">
        <v>14679</v>
      </c>
    </row>
    <row r="4067" spans="1:13" x14ac:dyDescent="0.25">
      <c r="A4067">
        <v>7080714</v>
      </c>
      <c r="B4067" t="s">
        <v>14680</v>
      </c>
      <c r="C4067" t="str">
        <f>"9783031132308"</f>
        <v>9783031132308</v>
      </c>
      <c r="D4067" t="str">
        <f>"9783031132315"</f>
        <v>9783031132315</v>
      </c>
      <c r="E4067" t="s">
        <v>2905</v>
      </c>
      <c r="F4067" s="1">
        <v>44856</v>
      </c>
      <c r="G4067" t="s">
        <v>14681</v>
      </c>
      <c r="H4067" t="s">
        <v>41</v>
      </c>
      <c r="I4067" t="s">
        <v>14682</v>
      </c>
      <c r="J4067">
        <v>331.62</v>
      </c>
      <c r="L4067" t="s">
        <v>20</v>
      </c>
      <c r="M4067" t="s">
        <v>14683</v>
      </c>
    </row>
    <row r="4068" spans="1:13" x14ac:dyDescent="0.25">
      <c r="A4068">
        <v>7080726</v>
      </c>
      <c r="B4068" t="s">
        <v>14684</v>
      </c>
      <c r="C4068" t="str">
        <f>"9783031106644"</f>
        <v>9783031106644</v>
      </c>
      <c r="D4068" t="str">
        <f>"9783031106651"</f>
        <v>9783031106651</v>
      </c>
      <c r="E4068" t="s">
        <v>2905</v>
      </c>
      <c r="F4068" s="1">
        <v>44810</v>
      </c>
      <c r="G4068" t="s">
        <v>14685</v>
      </c>
      <c r="H4068" t="s">
        <v>453</v>
      </c>
      <c r="I4068" t="s">
        <v>5108</v>
      </c>
      <c r="J4068">
        <v>342.24</v>
      </c>
      <c r="L4068" t="s">
        <v>20</v>
      </c>
      <c r="M4068" t="s">
        <v>14686</v>
      </c>
    </row>
    <row r="4069" spans="1:13" x14ac:dyDescent="0.25">
      <c r="A4069">
        <v>7081046</v>
      </c>
      <c r="B4069" t="s">
        <v>14687</v>
      </c>
      <c r="C4069" t="str">
        <f>"9783031046827"</f>
        <v>9783031046827</v>
      </c>
      <c r="D4069" t="str">
        <f>"9783031046834"</f>
        <v>9783031046834</v>
      </c>
      <c r="E4069" t="s">
        <v>2905</v>
      </c>
      <c r="F4069" s="1">
        <v>44811</v>
      </c>
      <c r="G4069" t="s">
        <v>14688</v>
      </c>
      <c r="H4069" t="s">
        <v>2623</v>
      </c>
      <c r="I4069" t="s">
        <v>5175</v>
      </c>
      <c r="L4069" t="s">
        <v>20</v>
      </c>
      <c r="M4069" t="s">
        <v>14689</v>
      </c>
    </row>
    <row r="4070" spans="1:13" x14ac:dyDescent="0.25">
      <c r="A4070">
        <v>7081892</v>
      </c>
      <c r="B4070" t="s">
        <v>14690</v>
      </c>
      <c r="C4070" t="str">
        <f>"9783031135651"</f>
        <v>9783031135651</v>
      </c>
      <c r="D4070" t="str">
        <f>"9783031135668"</f>
        <v>9783031135668</v>
      </c>
      <c r="E4070" t="s">
        <v>2905</v>
      </c>
      <c r="F4070" s="1">
        <v>44843</v>
      </c>
      <c r="G4070" t="s">
        <v>14691</v>
      </c>
      <c r="H4070" t="s">
        <v>1178</v>
      </c>
      <c r="I4070" t="s">
        <v>4478</v>
      </c>
      <c r="L4070" t="s">
        <v>20</v>
      </c>
      <c r="M4070" t="s">
        <v>14692</v>
      </c>
    </row>
    <row r="4071" spans="1:13" x14ac:dyDescent="0.25">
      <c r="A4071">
        <v>7083155</v>
      </c>
      <c r="B4071" t="s">
        <v>14693</v>
      </c>
      <c r="C4071" t="str">
        <f>"9783030986353"</f>
        <v>9783030986353</v>
      </c>
      <c r="D4071" t="str">
        <f>"9783030986360"</f>
        <v>9783030986360</v>
      </c>
      <c r="E4071" t="s">
        <v>2905</v>
      </c>
      <c r="F4071" s="1">
        <v>44849</v>
      </c>
      <c r="G4071" t="s">
        <v>14694</v>
      </c>
      <c r="H4071" t="s">
        <v>712</v>
      </c>
      <c r="I4071" t="s">
        <v>14695</v>
      </c>
      <c r="L4071" t="s">
        <v>20</v>
      </c>
      <c r="M4071" t="s">
        <v>14696</v>
      </c>
    </row>
    <row r="4072" spans="1:13" x14ac:dyDescent="0.25">
      <c r="A4072">
        <v>7083217</v>
      </c>
      <c r="B4072" t="s">
        <v>14697</v>
      </c>
      <c r="C4072" t="str">
        <f>"9783030860646"</f>
        <v>9783030860646</v>
      </c>
      <c r="D4072" t="str">
        <f>"9783030860653"</f>
        <v>9783030860653</v>
      </c>
      <c r="E4072" t="s">
        <v>2905</v>
      </c>
      <c r="F4072" s="1">
        <v>44849</v>
      </c>
      <c r="G4072" t="s">
        <v>14698</v>
      </c>
      <c r="H4072" t="s">
        <v>4915</v>
      </c>
      <c r="I4072" t="s">
        <v>14699</v>
      </c>
      <c r="L4072" t="s">
        <v>20</v>
      </c>
      <c r="M4072" t="s">
        <v>14700</v>
      </c>
    </row>
    <row r="4073" spans="1:13" x14ac:dyDescent="0.25">
      <c r="A4073">
        <v>29377749</v>
      </c>
      <c r="B4073" t="s">
        <v>14281</v>
      </c>
      <c r="C4073" t="str">
        <f>"9780813597263"</f>
        <v>9780813597263</v>
      </c>
      <c r="D4073" t="str">
        <f>"9780813597300"</f>
        <v>9780813597300</v>
      </c>
      <c r="E4073" t="s">
        <v>264</v>
      </c>
      <c r="F4073" s="1">
        <v>44742</v>
      </c>
      <c r="G4073" t="s">
        <v>14282</v>
      </c>
      <c r="H4073" t="s">
        <v>961</v>
      </c>
      <c r="I4073" t="s">
        <v>4313</v>
      </c>
      <c r="J4073">
        <v>179.76</v>
      </c>
      <c r="L4073" t="s">
        <v>20</v>
      </c>
      <c r="M4073" t="s">
        <v>14701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Open Access Complete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 Catania</dc:creator>
  <cp:lastModifiedBy>Roberta Catania</cp:lastModifiedBy>
  <dcterms:created xsi:type="dcterms:W3CDTF">2022-10-28T07:00:22Z</dcterms:created>
  <dcterms:modified xsi:type="dcterms:W3CDTF">2022-10-28T07:00:55Z</dcterms:modified>
</cp:coreProperties>
</file>